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1" sheetId="1" r:id="rId1"/>
    <sheet name="ΔΙΚΑΣΤΙΚΟΙ από 1.1.2021" sheetId="2" r:id="rId2"/>
    <sheet name="&gt;5ετίας" sheetId="3" r:id="rId3"/>
    <sheet name="&lt;5ετίας 1η 2ετια" sheetId="4" r:id="rId4"/>
    <sheet name="&lt;5ετίας επόμενη 3ετία" sheetId="5" r:id="rId5"/>
    <sheet name="Σημειώσεις Ασφαλιστικού" sheetId="6" r:id="rId6"/>
    <sheet name="Πίνακες προσαρμογής" sheetId="7" r:id="rId7"/>
  </sheets>
  <definedNames>
    <definedName name="_xlnm.Print_Area" localSheetId="0">'1'!$A$1:$K$63</definedName>
    <definedName name="_xlnm.Print_Titles" localSheetId="3">'&lt;5ετίας 1η 2ετια'!$1:$3</definedName>
    <definedName name="_xlnm.Print_Titles" localSheetId="4">'&lt;5ετίας επόμενη 3ετία'!$1:$3</definedName>
    <definedName name="_xlnm.Print_Titles" localSheetId="2">'&gt;5ετίας'!$1:$3</definedName>
    <definedName name="_xlnm.Print_Titles" localSheetId="1">'ΔΙΚΑΣΤΙΚΟΙ από 1.1.2021'!$1:$3</definedName>
  </definedNames>
  <calcPr fullCalcOnLoad="1"/>
</workbook>
</file>

<file path=xl/comments2.xml><?xml version="1.0" encoding="utf-8"?>
<comments xmlns="http://schemas.openxmlformats.org/spreadsheetml/2006/main">
  <authors>
    <author>User</author>
  </authors>
  <commentList>
    <comment ref="M1" authorId="0">
      <text>
        <r>
          <rPr>
            <b/>
            <u val="single"/>
            <sz val="8"/>
            <rFont val="Comic Sans MS"/>
            <family val="4"/>
          </rPr>
          <t>Κάνοντας κλίκ στο κελί μας φέρνει τους πίνακες</t>
        </r>
        <r>
          <rPr>
            <sz val="8"/>
            <rFont val="Comic Sans MS"/>
            <family val="4"/>
          </rPr>
          <t xml:space="preserve"> 
*ΦΟΡΟΥ ΕΙΣΟΔΗΜΑΤΟΣ 
*ΕΚΠΤΩΣΗΣ ΦΟΡΟΥ ΕΙΣΟΔΗΜΑΤΟΣ
*ΕΙΣΦΟΡΑΣ ΑΛΛΗΛΕΓΓΥΗΣ
*ΑΣΦΑΛΙΣΤΙΚΩΝ ΕΙΣΦΟΡΩΝ
*ΦΟΡΟΥ ΑΚΙΝΗΤΗΣ ΠΕΡΙΟΥΣΙΑΣ
*ΦΟΡΟΥ ΑΓΡΟΤΙΚΩΝ ΕΙΣΟΔΗΜΑΤΩΝ
*ΑΦΟΡΟΛΟΓΗΤΟ ΜΙΣΘΩΤΩΝ
</t>
        </r>
        <r>
          <rPr>
            <sz val="14"/>
            <rFont val="Comic Sans MS"/>
            <family val="4"/>
          </rPr>
          <t>που ισχύουν από 1.1.2017</t>
        </r>
      </text>
    </comment>
  </commentList>
</comments>
</file>

<file path=xl/comments3.xml><?xml version="1.0" encoding="utf-8"?>
<comments xmlns="http://schemas.openxmlformats.org/spreadsheetml/2006/main">
  <authors>
    <author>User</author>
  </authors>
  <commentList>
    <comment ref="O1" authorId="0">
      <text>
        <r>
          <rPr>
            <b/>
            <u val="single"/>
            <sz val="8"/>
            <rFont val="Comic Sans MS"/>
            <family val="4"/>
          </rPr>
          <t>Κάνοντας κλίκ στο κελί μας φέρνει τους πίνακες</t>
        </r>
        <r>
          <rPr>
            <sz val="8"/>
            <rFont val="Comic Sans MS"/>
            <family val="4"/>
          </rPr>
          <t xml:space="preserve"> 
*ΦΟΡΟΥ ΕΙΣΟΔΗΜΑΤΟΣ 
*ΕΚΠΤΩΣΗΣ ΦΟΡΟΥ ΕΙΣΟΔΗΜΑΤΟΣ
*ΕΙΣΦΟΡΑΣ ΑΛΛΗΛΕΓΓΥΗΣ
*ΑΣΦΑΛΙΣΤΙΚΩΝ ΕΙΣΦΟΡΩΝ
*ΦΟΡΟΥ ΑΚΙΝΗΤΗΣ ΠΕΡΙΟΥΣΙΑΣ
*ΦΟΡΟΥ ΑΓΡΟΤΙΚΩΝ ΕΙΣΟΔΗΜΑΤΩΝ
*ΑΦΟΡΟΛΟΓΗΤΟ ΜΙΣΘΩΤΩΝ
</t>
        </r>
        <r>
          <rPr>
            <sz val="14"/>
            <rFont val="Comic Sans MS"/>
            <family val="4"/>
          </rPr>
          <t>που ισχύουν από 1.1.2017</t>
        </r>
      </text>
    </comment>
  </commentList>
</comments>
</file>

<file path=xl/comments4.xml><?xml version="1.0" encoding="utf-8"?>
<comments xmlns="http://schemas.openxmlformats.org/spreadsheetml/2006/main">
  <authors>
    <author>User</author>
  </authors>
  <commentList>
    <comment ref="O1" authorId="0">
      <text>
        <r>
          <rPr>
            <b/>
            <u val="single"/>
            <sz val="8"/>
            <rFont val="Comic Sans MS"/>
            <family val="4"/>
          </rPr>
          <t>Κάνοντας κλίκ στο κελί μας φέρνει τους πίνακες</t>
        </r>
        <r>
          <rPr>
            <sz val="8"/>
            <rFont val="Comic Sans MS"/>
            <family val="4"/>
          </rPr>
          <t xml:space="preserve"> 
*ΦΟΡΟΥ ΕΙΣΟΔΗΜΑΤΟΣ 
*ΕΚΠΤΩΣΗΣ ΦΟΡΟΥ ΕΙΣΟΔΗΜΑΤΟΣ
*ΕΙΣΦΟΡΑΣ ΑΛΛΗΛΕΓΓΥΗΣ
*ΑΣΦΑΛΙΣΤΙΚΩΝ ΕΙΣΦΟΡΩΝ
*ΦΟΡΟΥ ΑΚΙΝΗΤΗΣ ΠΕΡΙΟΥΣΙΑΣ
*ΦΟΡΟΥ ΑΓΡΟΤΙΚΩΝ ΕΙΣΟΔΗΜΑΤΩΝ
*ΑΦΟΡΟΛΟΓΗΤΟ ΜΙΣΘΩΤΩΝ
</t>
        </r>
        <r>
          <rPr>
            <sz val="14"/>
            <rFont val="Comic Sans MS"/>
            <family val="4"/>
          </rPr>
          <t>που ισχύουν από 1.1.2017</t>
        </r>
      </text>
    </comment>
  </commentList>
</comments>
</file>

<file path=xl/comments5.xml><?xml version="1.0" encoding="utf-8"?>
<comments xmlns="http://schemas.openxmlformats.org/spreadsheetml/2006/main">
  <authors>
    <author>User</author>
  </authors>
  <commentList>
    <comment ref="O1" authorId="0">
      <text>
        <r>
          <rPr>
            <b/>
            <u val="single"/>
            <sz val="8"/>
            <rFont val="Comic Sans MS"/>
            <family val="4"/>
          </rPr>
          <t>Κάνοντας κλίκ στο κελί μας φέρνει τους πίνακες</t>
        </r>
        <r>
          <rPr>
            <sz val="8"/>
            <rFont val="Comic Sans MS"/>
            <family val="4"/>
          </rPr>
          <t xml:space="preserve"> 
*ΦΟΡΟΥ ΕΙΣΟΔΗΜΑΤΟΣ 
*ΕΚΠΤΩΣΗΣ ΦΟΡΟΥ ΕΙΣΟΔΗΜΑΤΟΣ
*ΕΙΣΦΟΡΑΣ ΑΛΛΗΛΕΓΓΥΗΣ
*ΑΣΦΑΛΙΣΤΙΚΩΝ ΕΙΣΦΟΡΩΝ
*ΦΟΡΟΥ ΑΚΙΝΗΤΗΣ ΠΕΡΙΟΥΣΙΑΣ
*ΦΟΡΟΥ ΑΓΡΟΤΙΚΩΝ ΕΙΣΟΔΗΜΑΤΩΝ
*ΑΦΟΡΟΛΟΓΗΤΟ ΜΙΣΘΩΤΩΝ
</t>
        </r>
        <r>
          <rPr>
            <sz val="14"/>
            <rFont val="Comic Sans MS"/>
            <family val="4"/>
          </rPr>
          <t>που ισχύουν από 1.1.2017</t>
        </r>
      </text>
    </comment>
  </commentList>
</comments>
</file>

<file path=xl/sharedStrings.xml><?xml version="1.0" encoding="utf-8"?>
<sst xmlns="http://schemas.openxmlformats.org/spreadsheetml/2006/main" count="436" uniqueCount="252">
  <si>
    <t>Κλιµάκιο εισοδήµατος (ευρώ)</t>
  </si>
  <si>
    <t>Φορολογικός συντελεστής %</t>
  </si>
  <si>
    <t>Φόρος κλιµακίου (ευρώ)</t>
  </si>
  <si>
    <t>Σύνολο</t>
  </si>
  <si>
    <t>Εισοδήµατος</t>
  </si>
  <si>
    <t>Φόρου</t>
  </si>
  <si>
    <t>(ευρώ)</t>
  </si>
  <si>
    <t>Υπερβάλλον</t>
  </si>
  <si>
    <t>Αριθμός τέκνων</t>
  </si>
  <si>
    <t>  Έκπτωση φόρου</t>
  </si>
  <si>
    <t>Χωρίς τέκνα</t>
  </si>
  <si>
    <t>Ένα</t>
  </si>
  <si>
    <t>Δύο</t>
  </si>
  <si>
    <t>Τρία</t>
  </si>
  <si>
    <t>Ετήσιο
Εισόδημα</t>
  </si>
  <si>
    <t>Χωρίς παιδιά</t>
  </si>
  <si>
    <t>Με 1 παιδί</t>
  </si>
  <si>
    <t>Με 2 παιδιά</t>
  </si>
  <si>
    <t>Με 3 παιδιά</t>
  </si>
  <si>
    <t>0.00</t>
  </si>
  <si>
    <t>0.14</t>
  </si>
  <si>
    <t>0.36</t>
  </si>
  <si>
    <t>0.58</t>
  </si>
  <si>
    <t>49.20</t>
  </si>
  <si>
    <t>49.42</t>
  </si>
  <si>
    <t>49.64</t>
  </si>
  <si>
    <t>49.86</t>
  </si>
  <si>
    <t>50.08</t>
  </si>
  <si>
    <t>0.08</t>
  </si>
  <si>
    <t>50.30</t>
  </si>
  <si>
    <t>0.30</t>
  </si>
  <si>
    <t>80.00</t>
  </si>
  <si>
    <t>30.00</t>
  </si>
  <si>
    <t>99.36</t>
  </si>
  <si>
    <t>49.36</t>
  </si>
  <si>
    <t>99.58</t>
  </si>
  <si>
    <t>49.58</t>
  </si>
  <si>
    <t>99.80</t>
  </si>
  <si>
    <t>49.80</t>
  </si>
  <si>
    <t>100.02</t>
  </si>
  <si>
    <t>50.02</t>
  </si>
  <si>
    <t>0.02</t>
  </si>
  <si>
    <t>100.24</t>
  </si>
  <si>
    <t>50.24</t>
  </si>
  <si>
    <t>0.24</t>
  </si>
  <si>
    <t>100.46</t>
  </si>
  <si>
    <t>50.46</t>
  </si>
  <si>
    <t>0.46</t>
  </si>
  <si>
    <t>199.46</t>
  </si>
  <si>
    <t>149.46</t>
  </si>
  <si>
    <t>99.46</t>
  </si>
  <si>
    <t>199.68</t>
  </si>
  <si>
    <t>149.68</t>
  </si>
  <si>
    <t>99.68</t>
  </si>
  <si>
    <t>199.90</t>
  </si>
  <si>
    <t>149.90</t>
  </si>
  <si>
    <t>99.90</t>
  </si>
  <si>
    <t>200.12</t>
  </si>
  <si>
    <t>150.12</t>
  </si>
  <si>
    <t>100.12</t>
  </si>
  <si>
    <t>0.12</t>
  </si>
  <si>
    <t>200.34</t>
  </si>
  <si>
    <t>150.34</t>
  </si>
  <si>
    <t>100.34</t>
  </si>
  <si>
    <t>0.34</t>
  </si>
  <si>
    <t>200.56</t>
  </si>
  <si>
    <t>150.56</t>
  </si>
  <si>
    <t>100.56</t>
  </si>
  <si>
    <t>0.56</t>
  </si>
  <si>
    <t>300.00</t>
  </si>
  <si>
    <t>250.00</t>
  </si>
  <si>
    <t>200.00</t>
  </si>
  <si>
    <t>100.00</t>
  </si>
  <si>
    <t>520.00</t>
  </si>
  <si>
    <t>470.00</t>
  </si>
  <si>
    <t>420.00</t>
  </si>
  <si>
    <t>320.00</t>
  </si>
  <si>
    <t>Συντελεστής %</t>
  </si>
  <si>
    <t xml:space="preserve">0-12.000 </t>
  </si>
  <si>
    <t xml:space="preserve">12.001 – 35.000 </t>
  </si>
  <si>
    <t xml:space="preserve">35.001- </t>
  </si>
  <si>
    <t>Εισόδημα από ακίνητη περιουσία</t>
  </si>
  <si>
    <t>Φόρος κλιµακίου 
(ευρώ)</t>
  </si>
  <si>
    <t>ΝΕΑ ΚΛΙΜΑΚΑ ΕΙΣΦΟΡΑΣ ΑΛΛΗΛΕΓΓΥΗΣ</t>
  </si>
  <si>
    <t>Ετήσιο Εισόδημα</t>
  </si>
  <si>
    <t>Παλαιά κλίμακα</t>
  </si>
  <si>
    <t>Νέα κλίμακα</t>
  </si>
  <si>
    <t>Διαφορά</t>
  </si>
  <si>
    <t xml:space="preserve">Φόρος </t>
  </si>
  <si>
    <t>403.00</t>
  </si>
  <si>
    <t>-403.00</t>
  </si>
  <si>
    <t>416.00</t>
  </si>
  <si>
    <t>-416.00</t>
  </si>
  <si>
    <t>429.00</t>
  </si>
  <si>
    <t>-429.00</t>
  </si>
  <si>
    <t>442.00</t>
  </si>
  <si>
    <t>-442.00</t>
  </si>
  <si>
    <t>455.00</t>
  </si>
  <si>
    <t>-455.00</t>
  </si>
  <si>
    <t>468.00</t>
  </si>
  <si>
    <t>-468.00</t>
  </si>
  <si>
    <t>481.00</t>
  </si>
  <si>
    <t>-481.00</t>
  </si>
  <si>
    <t>494.00</t>
  </si>
  <si>
    <t>-494.00</t>
  </si>
  <si>
    <t>3,900.00</t>
  </si>
  <si>
    <t>507.00</t>
  </si>
  <si>
    <t>-507.00</t>
  </si>
  <si>
    <t>4,000.00</t>
  </si>
  <si>
    <t>-520.00</t>
  </si>
  <si>
    <t>650.00</t>
  </si>
  <si>
    <t>-650.00</t>
  </si>
  <si>
    <t>780.00</t>
  </si>
  <si>
    <t>-780.00</t>
  </si>
  <si>
    <t>910.00</t>
  </si>
  <si>
    <t>-910.00</t>
  </si>
  <si>
    <t>1,040.00</t>
  </si>
  <si>
    <t>-1,040.00</t>
  </si>
  <si>
    <t>1,170.00</t>
  </si>
  <si>
    <t>-1,170.00</t>
  </si>
  <si>
    <t>1,300.00</t>
  </si>
  <si>
    <t>-1,100.00</t>
  </si>
  <si>
    <t>1,430.00</t>
  </si>
  <si>
    <t>-1,010.00</t>
  </si>
  <si>
    <t>1,560.00</t>
  </si>
  <si>
    <t>640.00</t>
  </si>
  <si>
    <t>-920.00</t>
  </si>
  <si>
    <t>13,000.00</t>
  </si>
  <si>
    <t>1,690.00</t>
  </si>
  <si>
    <t>860.00</t>
  </si>
  <si>
    <t>-830.00</t>
  </si>
  <si>
    <t>1,820.00</t>
  </si>
  <si>
    <t>1,080.00</t>
  </si>
  <si>
    <t>-740.00</t>
  </si>
  <si>
    <t>1,950.00</t>
  </si>
  <si>
    <t>2,600.00</t>
  </si>
  <si>
    <t>2,400.00</t>
  </si>
  <si>
    <t>-200.00</t>
  </si>
  <si>
    <t>2,730.00</t>
  </si>
  <si>
    <t>2,700.00</t>
  </si>
  <si>
    <t>-30.00</t>
  </si>
  <si>
    <t>2,743.00</t>
  </si>
  <si>
    <t>-13.00</t>
  </si>
  <si>
    <t>2,756.00</t>
  </si>
  <si>
    <t>2,760.00</t>
  </si>
  <si>
    <t>4.00</t>
  </si>
  <si>
    <t>2,769.00</t>
  </si>
  <si>
    <t>2,790.00</t>
  </si>
  <si>
    <t>21.00</t>
  </si>
  <si>
    <t>5,400.00</t>
  </si>
  <si>
    <t>1,500.00</t>
  </si>
  <si>
    <t>5,200.00</t>
  </si>
  <si>
    <t>9,200.00</t>
  </si>
  <si>
    <t>6,500.00</t>
  </si>
  <si>
    <t>13,800.00</t>
  </si>
  <si>
    <t>7,300.00</t>
  </si>
  <si>
    <t>9,100.00</t>
  </si>
  <si>
    <t>23,000.00</t>
  </si>
  <si>
    <t>13,900.00</t>
  </si>
  <si>
    <t>10,400.00</t>
  </si>
  <si>
    <t>27,600.00</t>
  </si>
  <si>
    <t>17,200.00</t>
  </si>
  <si>
    <t>36,800.00</t>
  </si>
  <si>
    <t>23,800.00</t>
  </si>
  <si>
    <t>15,600.00</t>
  </si>
  <si>
    <t>46,000.00</t>
  </si>
  <si>
    <t>30,400.00</t>
  </si>
  <si>
    <t>19,500.00</t>
  </si>
  <si>
    <t>59,800.00</t>
  </si>
  <si>
    <t>40,300.00</t>
  </si>
  <si>
    <t>Το αφορολόγητο των μισθωτών
 βάσει των νέων διατάξεων διαμορφώνεται ως εξής:</t>
  </si>
  <si>
    <t>(Ισχύει για εισοδήματα από 1.1.2016)</t>
  </si>
  <si>
    <t xml:space="preserve">του άρθρου 45 που τηρούν ΑΠΛΟΓΡΑΦΙΚΑ ΒΙΒΛΙΑ (Ο.Ε., Ε.Ε. κλπ) </t>
  </si>
  <si>
    <t>συντελεστές;  η 26% μέχρι 50.000,00 και 33% από 50.000,00 και πάνω;</t>
  </si>
  <si>
    <t xml:space="preserve"> </t>
  </si>
  <si>
    <t>ΠΟΣΟΣΤΑ ΑΣΦΑΛΙΣΤΙΚΩΝ ΕΙΣΦΟΡΩΝ</t>
  </si>
  <si>
    <t>Συντ. Σύνταξης</t>
  </si>
  <si>
    <t>Συντ. Υγείας</t>
  </si>
  <si>
    <t>1'!A1</t>
  </si>
  <si>
    <t>(Διαφορές 2016 με 2015)</t>
  </si>
  <si>
    <t xml:space="preserve">(ισχύει  από 1.1.2016) </t>
  </si>
  <si>
    <t> Φόρος Εισοδήματος</t>
  </si>
  <si>
    <r>
      <t xml:space="preserve">ΚΛΙΜΑΚΑ ΦΟΡΟΛΟΓΙΑΣ ΕΙΣΟΔΗΜΑΤΟΣ ΦΥΣΙΚΩΝ ΠΡΟΣΩΠΩΝ 
</t>
    </r>
    <r>
      <rPr>
        <b/>
        <sz val="11"/>
        <color indexed="10"/>
        <rFont val="Comic Sans MS"/>
        <family val="4"/>
      </rPr>
      <t xml:space="preserve">(Ισχύς για εισοδήματα από 1.1.2016) </t>
    </r>
  </si>
  <si>
    <r>
      <t>* Νέος Συντελεστής φόρου</t>
    </r>
    <r>
      <rPr>
        <b/>
        <sz val="11"/>
        <color indexed="12"/>
        <rFont val="Calibri"/>
        <family val="2"/>
      </rPr>
      <t xml:space="preserve"> </t>
    </r>
    <r>
      <rPr>
        <b/>
        <sz val="11"/>
        <color indexed="10"/>
        <rFont val="Calibri"/>
        <family val="2"/>
      </rPr>
      <t>29%</t>
    </r>
    <r>
      <rPr>
        <sz val="11"/>
        <color indexed="12"/>
        <rFont val="Calibri"/>
        <family val="2"/>
      </rPr>
      <t xml:space="preserve"> στα κέρδη υπόχρεων των περ. β΄, δ΄, ε΄, στ΄ και ζ΄</t>
    </r>
  </si>
  <si>
    <r>
      <t xml:space="preserve">* </t>
    </r>
    <r>
      <rPr>
        <u val="single"/>
        <sz val="11"/>
        <color indexed="10"/>
        <rFont val="Calibri"/>
        <family val="2"/>
      </rPr>
      <t>ΕΡΩΤΗΣΗ:</t>
    </r>
    <r>
      <rPr>
        <sz val="11"/>
        <color indexed="12"/>
        <rFont val="Calibri"/>
        <family val="2"/>
      </rPr>
      <t xml:space="preserve">  Φορολογούνται πλέον με συντελεστή </t>
    </r>
    <r>
      <rPr>
        <b/>
        <sz val="11"/>
        <color indexed="10"/>
        <rFont val="Calibri"/>
        <family val="2"/>
      </rPr>
      <t>29%</t>
    </r>
    <r>
      <rPr>
        <sz val="11"/>
        <color indexed="12"/>
        <rFont val="Calibri"/>
        <family val="2"/>
      </rPr>
      <t xml:space="preserve"> και όχι με δύο </t>
    </r>
  </si>
  <si>
    <t>Φορολογητέο
Εισόδημα</t>
  </si>
  <si>
    <t>(α)</t>
  </si>
  <si>
    <t>(β)</t>
  </si>
  <si>
    <t>(γ)</t>
  </si>
  <si>
    <t>(δ)</t>
  </si>
  <si>
    <t>(ζ)</t>
  </si>
  <si>
    <t>(η) = (ζ)</t>
  </si>
  <si>
    <t>(θ)</t>
  </si>
  <si>
    <t>(ι)</t>
  </si>
  <si>
    <r>
      <t xml:space="preserve">(α)-(ε)= </t>
    </r>
    <r>
      <rPr>
        <sz val="11"/>
        <color indexed="12"/>
        <rFont val="Arial Black"/>
        <family val="2"/>
      </rPr>
      <t>(στ)</t>
    </r>
  </si>
  <si>
    <r>
      <rPr>
        <b/>
        <sz val="12"/>
        <color indexed="12"/>
        <rFont val="Comic Sans MS"/>
        <family val="4"/>
      </rPr>
      <t>ΚΕΡΔΗ</t>
    </r>
    <r>
      <rPr>
        <b/>
        <sz val="10"/>
        <color indexed="12"/>
        <rFont val="Comic Sans MS"/>
        <family val="4"/>
      </rPr>
      <t xml:space="preserve"> </t>
    </r>
  </si>
  <si>
    <r>
      <t xml:space="preserve">(β)+(γ)+(δ)= </t>
    </r>
    <r>
      <rPr>
        <sz val="11"/>
        <color indexed="12"/>
        <rFont val="Arial Black"/>
        <family val="2"/>
      </rPr>
      <t>(ε)</t>
    </r>
  </si>
  <si>
    <r>
      <t xml:space="preserve">(ζ)+(θ)+(ι) = </t>
    </r>
    <r>
      <rPr>
        <sz val="11"/>
        <color indexed="12"/>
        <rFont val="Arial Black"/>
        <family val="2"/>
      </rPr>
      <t>(κ)</t>
    </r>
  </si>
  <si>
    <r>
      <rPr>
        <b/>
        <u val="single"/>
        <sz val="12"/>
        <color indexed="12"/>
        <rFont val="Arial Narrow"/>
        <family val="2"/>
      </rPr>
      <t>ΣΥΝΟΛΟ</t>
    </r>
    <r>
      <rPr>
        <b/>
        <u val="single"/>
        <sz val="10"/>
        <color indexed="12"/>
        <rFont val="Arial Narrow"/>
        <family val="2"/>
      </rPr>
      <t xml:space="preserve">
</t>
    </r>
    <r>
      <rPr>
        <u val="single"/>
        <sz val="10"/>
        <color indexed="12"/>
        <rFont val="Arial Narrow"/>
        <family val="2"/>
      </rPr>
      <t>ΕΙΣΦΟΡΩΝ</t>
    </r>
  </si>
  <si>
    <r>
      <rPr>
        <b/>
        <u val="single"/>
        <sz val="12"/>
        <color indexed="12"/>
        <rFont val="Arial Narrow"/>
        <family val="2"/>
      </rPr>
      <t>ΣΥΝΟΛΟ</t>
    </r>
    <r>
      <rPr>
        <b/>
        <u val="single"/>
        <sz val="11"/>
        <color indexed="12"/>
        <rFont val="Arial Narrow"/>
        <family val="2"/>
      </rPr>
      <t xml:space="preserve">
</t>
    </r>
    <r>
      <rPr>
        <u val="single"/>
        <sz val="10"/>
        <color indexed="12"/>
        <rFont val="Arial Narrow"/>
        <family val="2"/>
      </rPr>
      <t>ΦΟΡΩΝ
&amp; ΤΕΛΩΝ</t>
    </r>
  </si>
  <si>
    <t xml:space="preserve">Απώλεια
Κερδών
% </t>
  </si>
  <si>
    <r>
      <t xml:space="preserve">Φόρος 
</t>
    </r>
    <r>
      <rPr>
        <b/>
        <u val="single"/>
        <sz val="10"/>
        <color indexed="12"/>
        <rFont val="Comic Sans MS"/>
        <family val="4"/>
      </rPr>
      <t>Εισοδήματος</t>
    </r>
    <r>
      <rPr>
        <b/>
        <sz val="10"/>
        <color indexed="12"/>
        <rFont val="Comic Sans MS"/>
        <family val="4"/>
      </rPr>
      <t xml:space="preserve">
</t>
    </r>
    <r>
      <rPr>
        <b/>
        <sz val="9"/>
        <color indexed="12"/>
        <rFont val="Comic Sans MS"/>
        <family val="4"/>
      </rPr>
      <t>(ως κλίμακα)</t>
    </r>
  </si>
  <si>
    <r>
      <t xml:space="preserve">Προκαταβολή 
</t>
    </r>
    <r>
      <rPr>
        <b/>
        <u val="single"/>
        <sz val="10"/>
        <color indexed="12"/>
        <rFont val="Comic Sans MS"/>
        <family val="4"/>
      </rPr>
      <t>Φόρου Εισ/τος</t>
    </r>
    <r>
      <rPr>
        <b/>
        <sz val="10"/>
        <color indexed="12"/>
        <rFont val="Comic Sans MS"/>
        <family val="4"/>
      </rPr>
      <t xml:space="preserve">
</t>
    </r>
    <r>
      <rPr>
        <b/>
        <sz val="9"/>
        <color indexed="12"/>
        <rFont val="Comic Sans MS"/>
        <family val="4"/>
      </rPr>
      <t>(100% φόρου)</t>
    </r>
  </si>
  <si>
    <r>
      <t xml:space="preserve">Εισφορές
</t>
    </r>
    <r>
      <rPr>
        <b/>
        <u val="single"/>
        <sz val="10"/>
        <color indexed="12"/>
        <rFont val="Comic Sans MS"/>
        <family val="4"/>
      </rPr>
      <t>Αλληλεγγύης</t>
    </r>
    <r>
      <rPr>
        <b/>
        <sz val="10"/>
        <color indexed="12"/>
        <rFont val="Comic Sans MS"/>
        <family val="4"/>
      </rPr>
      <t xml:space="preserve">
</t>
    </r>
    <r>
      <rPr>
        <b/>
        <sz val="9"/>
        <color indexed="12"/>
        <rFont val="Comic Sans MS"/>
        <family val="4"/>
      </rPr>
      <t>(ως κλίμακα)</t>
    </r>
  </si>
  <si>
    <r>
      <t xml:space="preserve">Τέλος 
</t>
    </r>
    <r>
      <rPr>
        <b/>
        <u val="single"/>
        <sz val="10"/>
        <color indexed="12"/>
        <rFont val="Comic Sans MS"/>
        <family val="4"/>
      </rPr>
      <t>Επιτηδ/τος</t>
    </r>
    <r>
      <rPr>
        <b/>
        <sz val="10"/>
        <color indexed="12"/>
        <rFont val="Comic Sans MS"/>
        <family val="4"/>
      </rPr>
      <t xml:space="preserve">
</t>
    </r>
    <r>
      <rPr>
        <b/>
        <sz val="9"/>
        <color indexed="12"/>
        <rFont val="Comic Sans MS"/>
        <family val="4"/>
      </rPr>
      <t>(σταθερό)</t>
    </r>
  </si>
  <si>
    <r>
      <t xml:space="preserve">Εισφορές
</t>
    </r>
    <r>
      <rPr>
        <b/>
        <u val="single"/>
        <sz val="10"/>
        <color indexed="12"/>
        <rFont val="Comic Sans MS"/>
        <family val="4"/>
      </rPr>
      <t>Σύνταξης</t>
    </r>
    <r>
      <rPr>
        <b/>
        <sz val="10"/>
        <color indexed="12"/>
        <rFont val="Comic Sans MS"/>
        <family val="4"/>
      </rPr>
      <t xml:space="preserve">
20%</t>
    </r>
  </si>
  <si>
    <r>
      <t xml:space="preserve">Εισφορές
</t>
    </r>
    <r>
      <rPr>
        <b/>
        <u val="single"/>
        <sz val="10"/>
        <color indexed="12"/>
        <rFont val="Comic Sans MS"/>
        <family val="4"/>
      </rPr>
      <t>Υγείας</t>
    </r>
    <r>
      <rPr>
        <b/>
        <sz val="10"/>
        <color indexed="12"/>
        <rFont val="Comic Sans MS"/>
        <family val="4"/>
      </rPr>
      <t xml:space="preserve">
6,95%</t>
    </r>
  </si>
  <si>
    <r>
      <t xml:space="preserve">Εισφορές 
</t>
    </r>
    <r>
      <rPr>
        <b/>
        <u val="single"/>
        <sz val="10"/>
        <color indexed="12"/>
        <rFont val="Comic Sans MS"/>
        <family val="4"/>
      </rPr>
      <t>Εφάπαξ</t>
    </r>
    <r>
      <rPr>
        <b/>
        <sz val="10"/>
        <color indexed="12"/>
        <rFont val="Comic Sans MS"/>
        <family val="4"/>
      </rPr>
      <t xml:space="preserve">
4%</t>
    </r>
  </si>
  <si>
    <r>
      <t xml:space="preserve">ΤΙ ΜΑΣ
ΜΕΝΕΙ 
</t>
    </r>
    <r>
      <rPr>
        <b/>
        <u val="single"/>
        <sz val="8"/>
        <color indexed="12"/>
        <rFont val="Comic Sans MS"/>
        <family val="4"/>
      </rPr>
      <t>(χωρίς να λαμβάνεται
υπόψη η προκ/λή)</t>
    </r>
  </si>
  <si>
    <t>(λ)/(α)-1</t>
  </si>
  <si>
    <t>έως 7.033,00</t>
  </si>
  <si>
    <r>
      <t>(ε)-(ζ)=</t>
    </r>
    <r>
      <rPr>
        <sz val="11"/>
        <color indexed="12"/>
        <rFont val="Arial Black"/>
        <family val="2"/>
      </rPr>
      <t>(η)</t>
    </r>
  </si>
  <si>
    <r>
      <t xml:space="preserve">(α)-(η)= </t>
    </r>
    <r>
      <rPr>
        <sz val="11"/>
        <color indexed="12"/>
        <rFont val="Arial Black"/>
        <family val="2"/>
      </rPr>
      <t>(θ)</t>
    </r>
  </si>
  <si>
    <t>(κ) = (ι)</t>
  </si>
  <si>
    <t>(λ)</t>
  </si>
  <si>
    <t>(μ)</t>
  </si>
  <si>
    <r>
      <rPr>
        <b/>
        <u val="single"/>
        <sz val="12"/>
        <color indexed="12"/>
        <rFont val="Arial Narrow"/>
        <family val="2"/>
      </rPr>
      <t>ΣΥΝΟΛΟ</t>
    </r>
    <r>
      <rPr>
        <b/>
        <u val="single"/>
        <sz val="11"/>
        <color indexed="12"/>
        <rFont val="Arial Narrow"/>
        <family val="2"/>
      </rPr>
      <t xml:space="preserve">
</t>
    </r>
    <r>
      <rPr>
        <u val="single"/>
        <sz val="10"/>
        <color indexed="12"/>
        <rFont val="Arial Narrow"/>
        <family val="2"/>
      </rPr>
      <t xml:space="preserve">ΦΟΡΩΝ &amp; ΤΕΛΩΝ
</t>
    </r>
    <r>
      <rPr>
        <u val="single"/>
        <sz val="7"/>
        <color indexed="12"/>
        <rFont val="Arial Narrow"/>
        <family val="2"/>
      </rPr>
      <t>(ΕΚΤΟΣ ΠΡΟΚ/ΛΗΣ)</t>
    </r>
  </si>
  <si>
    <r>
      <t xml:space="preserve">(ι)+(λ)+(μ) = </t>
    </r>
    <r>
      <rPr>
        <sz val="11"/>
        <color indexed="12"/>
        <rFont val="Arial Black"/>
        <family val="2"/>
      </rPr>
      <t>(ν)</t>
    </r>
  </si>
  <si>
    <r>
      <rPr>
        <b/>
        <sz val="8"/>
        <color indexed="8"/>
        <rFont val="Comic Sans MS"/>
        <family val="4"/>
      </rPr>
      <t xml:space="preserve"> έως</t>
    </r>
    <r>
      <rPr>
        <b/>
        <sz val="11"/>
        <color indexed="8"/>
        <rFont val="Comic Sans MS"/>
        <family val="4"/>
      </rPr>
      <t xml:space="preserve">  4.922,00</t>
    </r>
  </si>
  <si>
    <r>
      <t xml:space="preserve">Εισφορές
</t>
    </r>
    <r>
      <rPr>
        <b/>
        <u val="single"/>
        <sz val="10"/>
        <color indexed="12"/>
        <rFont val="Comic Sans MS"/>
        <family val="4"/>
      </rPr>
      <t>Σύνταξης</t>
    </r>
    <r>
      <rPr>
        <b/>
        <sz val="10"/>
        <color indexed="12"/>
        <rFont val="Comic Sans MS"/>
        <family val="4"/>
      </rPr>
      <t xml:space="preserve">
14%</t>
    </r>
  </si>
  <si>
    <r>
      <t xml:space="preserve">Εισφορές
</t>
    </r>
    <r>
      <rPr>
        <b/>
        <u val="single"/>
        <sz val="10"/>
        <color indexed="12"/>
        <rFont val="Comic Sans MS"/>
        <family val="4"/>
      </rPr>
      <t>Σύνταξης</t>
    </r>
    <r>
      <rPr>
        <b/>
        <sz val="10"/>
        <color indexed="12"/>
        <rFont val="Comic Sans MS"/>
        <family val="4"/>
      </rPr>
      <t xml:space="preserve">
17%</t>
    </r>
  </si>
  <si>
    <r>
      <t>(θ)-(ν)=</t>
    </r>
    <r>
      <rPr>
        <sz val="11"/>
        <color indexed="12"/>
        <rFont val="Arial Black"/>
        <family val="2"/>
      </rPr>
      <t>(ξ)</t>
    </r>
  </si>
  <si>
    <t>(ξ)/(α)-1</t>
  </si>
  <si>
    <t xml:space="preserve">Μείωση Εισφορών
βάσει % Προσαρμογής
 άρθρου 98 </t>
  </si>
  <si>
    <t>ΤΕΛΙΚΕΣ ΕΙΣΦΟΡΕΣ
ΜΕΤΑ ΤΗ ΜΕΙΩΣΗ ΤΟΥ  % ΠΡΟΣΑΡΜΟΓΗΣ
άρθρου 98</t>
  </si>
  <si>
    <r>
      <rPr>
        <b/>
        <sz val="12"/>
        <color indexed="12"/>
        <rFont val="Comic Sans MS"/>
        <family val="4"/>
      </rPr>
      <t>ΚΑΘΑΡΑ
ΚΕΡΔΗ</t>
    </r>
    <r>
      <rPr>
        <b/>
        <sz val="10"/>
        <color indexed="12"/>
        <rFont val="Comic Sans MS"/>
        <family val="4"/>
      </rPr>
      <t xml:space="preserve"> </t>
    </r>
  </si>
  <si>
    <r>
      <rPr>
        <b/>
        <i/>
        <sz val="14"/>
        <color indexed="12"/>
        <rFont val="Cambria"/>
        <family val="1"/>
      </rPr>
      <t xml:space="preserve">ΠΙΝΑΚΑΣ ΕΥΡΕΣΕΩΣ  ΚΑΘΑΡΟΥ ΚΕΡΔΟΥΣ ΔΙΚΑΣΤΙΚΩΝ ΕΠΙΜΕΛΗΤΩΝ (τα 2 πρώτα έτη για </t>
    </r>
    <r>
      <rPr>
        <b/>
        <i/>
        <u val="single"/>
        <sz val="14"/>
        <color indexed="12"/>
        <rFont val="Cambria"/>
        <family val="1"/>
      </rPr>
      <t>κάτω</t>
    </r>
    <r>
      <rPr>
        <b/>
        <i/>
        <sz val="14"/>
        <color indexed="12"/>
        <rFont val="Cambria"/>
        <family val="1"/>
      </rPr>
      <t>της 5ετίας)</t>
    </r>
    <r>
      <rPr>
        <b/>
        <i/>
        <sz val="14"/>
        <color indexed="40"/>
        <rFont val="Cambria"/>
        <family val="1"/>
      </rPr>
      <t xml:space="preserve">
ΜΕΤΑ ΤΗΝ ΑΦΑΙΡΕΣΗ ΑΣΦΑΛΙΣΤΙΚΩΝ ΕΙΣΦΟΡΩΝ - ΦΟΡΩΝ  &amp; ΤΕΛΩΝ
</t>
    </r>
    <r>
      <rPr>
        <b/>
        <i/>
        <sz val="12"/>
        <color indexed="12"/>
        <rFont val="Cambria"/>
        <family val="1"/>
      </rPr>
      <t xml:space="preserve">(Σύμφωνα με το νέο Ασφαλιστικό/Φορολογικό Νομοσχέδιο) </t>
    </r>
    <r>
      <rPr>
        <b/>
        <i/>
        <u val="single"/>
        <sz val="12"/>
        <color indexed="12"/>
        <rFont val="Cambria"/>
        <family val="1"/>
      </rPr>
      <t>ισχύει από 1.1.2017 έως 31.12.2020</t>
    </r>
  </si>
  <si>
    <r>
      <rPr>
        <b/>
        <i/>
        <sz val="14"/>
        <color indexed="12"/>
        <rFont val="Cambria"/>
        <family val="1"/>
      </rPr>
      <t>ΠΙΝΑΚΑΣ ΕΥΡΕΣΕΩΣ  ΚΑΘΑΡΟΥ ΚΕΡΔΟΥΣ ΔΙΚΑΣΤΙΚΩΝ ΕΠΙΜΕΛΗΤΩΝ (</t>
    </r>
    <r>
      <rPr>
        <b/>
        <sz val="14"/>
        <color indexed="12"/>
        <rFont val="Cambria"/>
        <family val="1"/>
      </rPr>
      <t>τ</t>
    </r>
    <r>
      <rPr>
        <b/>
        <sz val="13"/>
        <color indexed="12"/>
        <rFont val="Cambria"/>
        <family val="1"/>
      </rPr>
      <t xml:space="preserve">α </t>
    </r>
    <r>
      <rPr>
        <b/>
        <i/>
        <sz val="13"/>
        <color indexed="12"/>
        <rFont val="Cambria"/>
        <family val="1"/>
      </rPr>
      <t xml:space="preserve">3 επόμενα έτη </t>
    </r>
    <r>
      <rPr>
        <b/>
        <i/>
        <sz val="14"/>
        <color indexed="12"/>
        <rFont val="Cambria"/>
        <family val="1"/>
      </rPr>
      <t>(</t>
    </r>
    <r>
      <rPr>
        <b/>
        <i/>
        <sz val="11"/>
        <color indexed="12"/>
        <rFont val="Cambria"/>
        <family val="1"/>
      </rPr>
      <t>μετά την 1η διετία)</t>
    </r>
    <r>
      <rPr>
        <b/>
        <i/>
        <sz val="14"/>
        <color indexed="12"/>
        <rFont val="Cambria"/>
        <family val="1"/>
      </rPr>
      <t xml:space="preserve"> </t>
    </r>
    <r>
      <rPr>
        <b/>
        <i/>
        <sz val="13"/>
        <color indexed="12"/>
        <rFont val="Cambria"/>
        <family val="1"/>
      </rPr>
      <t xml:space="preserve">για </t>
    </r>
    <r>
      <rPr>
        <b/>
        <i/>
        <u val="single"/>
        <sz val="13"/>
        <color indexed="12"/>
        <rFont val="Cambria"/>
        <family val="1"/>
      </rPr>
      <t>κάτω</t>
    </r>
    <r>
      <rPr>
        <b/>
        <i/>
        <sz val="13"/>
        <color indexed="12"/>
        <rFont val="Cambria"/>
        <family val="1"/>
      </rPr>
      <t>της 5ετίας)</t>
    </r>
    <r>
      <rPr>
        <b/>
        <i/>
        <sz val="14"/>
        <color indexed="40"/>
        <rFont val="Cambria"/>
        <family val="1"/>
      </rPr>
      <t xml:space="preserve">
ΜΕΤΑ ΤΗΝ ΑΦΑΙΡΕΣΗ ΑΣΦΑΛΙΣΤΙΚΩΝ ΕΙΣΦΟΡΩΝ - ΦΟΡΩΝ  &amp; ΤΕΛΩΝ
</t>
    </r>
    <r>
      <rPr>
        <b/>
        <i/>
        <sz val="12"/>
        <color indexed="12"/>
        <rFont val="Cambria"/>
        <family val="1"/>
      </rPr>
      <t xml:space="preserve">(Σύμφωνα με το νέο Ασφαλιστικό/Φορολογικό Νομοσχέδιο) </t>
    </r>
    <r>
      <rPr>
        <b/>
        <i/>
        <u val="single"/>
        <sz val="12"/>
        <color indexed="12"/>
        <rFont val="Cambria"/>
        <family val="1"/>
      </rPr>
      <t>ισχύει από 1.1.2017 έως 31.12.2020</t>
    </r>
  </si>
  <si>
    <r>
      <rPr>
        <b/>
        <i/>
        <sz val="14"/>
        <color indexed="12"/>
        <rFont val="Cambria"/>
        <family val="1"/>
      </rPr>
      <t xml:space="preserve">ΠΙΝΑΚΑΣ ΕΥΡΕΣΕΩΣ  ΚΑΘΑΡΟΥ ΚΕΡΔΟΥΣ ΔΙΚΑΣΤΙΚΩΝ ΕΠΙΜΕΛΗΤΩΝ (για </t>
    </r>
    <r>
      <rPr>
        <b/>
        <i/>
        <u val="single"/>
        <sz val="14"/>
        <color indexed="12"/>
        <rFont val="Cambria"/>
        <family val="1"/>
      </rPr>
      <t>άνω</t>
    </r>
    <r>
      <rPr>
        <b/>
        <i/>
        <sz val="14"/>
        <color indexed="12"/>
        <rFont val="Cambria"/>
        <family val="1"/>
      </rPr>
      <t xml:space="preserve"> της 5ετίας)</t>
    </r>
    <r>
      <rPr>
        <b/>
        <i/>
        <sz val="14"/>
        <color indexed="40"/>
        <rFont val="Cambria"/>
        <family val="1"/>
      </rPr>
      <t xml:space="preserve">
ΜΕΤΑ ΤΗΝ ΑΦΑΙΡΕΣΗ ΑΣΦΑΛΙΣΤΙΚΩΝ ΕΙΣΦΟΡΩΝ - ΦΟΡΩΝ  &amp; ΤΕΛΩΝ
</t>
    </r>
    <r>
      <rPr>
        <b/>
        <i/>
        <sz val="12"/>
        <color indexed="12"/>
        <rFont val="Cambria"/>
        <family val="1"/>
      </rPr>
      <t xml:space="preserve">(Σύμφωνα με το νέο Ασφαλιστικό/Φορολογικό Νομοσχέδιο) </t>
    </r>
    <r>
      <rPr>
        <b/>
        <i/>
        <u val="single"/>
        <sz val="12"/>
        <color indexed="12"/>
        <rFont val="Cambria"/>
        <family val="1"/>
      </rPr>
      <t>ισχύει από 1.1.2017 έως 31.12.2020</t>
    </r>
  </si>
  <si>
    <r>
      <rPr>
        <b/>
        <i/>
        <sz val="14"/>
        <color indexed="12"/>
        <rFont val="Cambria"/>
        <family val="1"/>
      </rPr>
      <t>ΠΙΝΑΚΑΣ ΕΥΡΕΣΕΩΣ  ΚΑΘΑΡΟΥ ΚΕΡΔΟΥΣ ΔΙΚΑΣΤΙΚΩΝ ΕΠΙΜΕΛΗΤΩΝ</t>
    </r>
    <r>
      <rPr>
        <b/>
        <i/>
        <sz val="14"/>
        <color indexed="40"/>
        <rFont val="Cambria"/>
        <family val="1"/>
      </rPr>
      <t xml:space="preserve">
ΜΕΤΑ ΤΗΝ ΑΦΑΙΡΕΣΗ ΑΣΦΑΛΙΣΤΙΚΩΝ ΕΙΣΦΟΡΩΝ - ΦΟΡΩΝ  &amp; ΤΕΛΩΝ
</t>
    </r>
    <r>
      <rPr>
        <b/>
        <i/>
        <sz val="12"/>
        <color indexed="12"/>
        <rFont val="Cambria"/>
        <family val="1"/>
      </rPr>
      <t xml:space="preserve">(Σύμφωνα με το νέο Ασφαλιστικό/Φορολογικό Νομοσχέδιο) </t>
    </r>
    <r>
      <rPr>
        <b/>
        <i/>
        <u val="single"/>
        <sz val="12"/>
        <color indexed="12"/>
        <rFont val="Cambria"/>
        <family val="1"/>
      </rPr>
      <t xml:space="preserve">ισχύει από 1.1.2021  </t>
    </r>
  </si>
  <si>
    <r>
      <t>(α)-(κ)=</t>
    </r>
    <r>
      <rPr>
        <sz val="11"/>
        <color indexed="12"/>
        <rFont val="Arial Black"/>
        <family val="2"/>
      </rPr>
      <t>(λ)</t>
    </r>
  </si>
  <si>
    <r>
      <t xml:space="preserve">1.  </t>
    </r>
    <r>
      <rPr>
        <sz val="9"/>
        <color indexed="8"/>
        <rFont val="Arial"/>
        <family val="2"/>
      </rPr>
      <t xml:space="preserve">Το ανώτατο όριο ασφαλιστέων αποδοχών για τον υπολογισμό της μηνιαίας ασφαλιστικής εισφοράς συνίσταται στο </t>
    </r>
    <r>
      <rPr>
        <b/>
        <sz val="9"/>
        <color indexed="8"/>
        <rFont val="Arial"/>
        <family val="2"/>
      </rPr>
      <t>δεκαπλάσιο</t>
    </r>
    <r>
      <rPr>
        <sz val="9"/>
        <color indexed="8"/>
        <rFont val="Arial"/>
        <family val="2"/>
      </rPr>
      <t xml:space="preserve"> του ποσού που αντιστοιχεί στο βασικό μισθό άγαμου μισθωτού άνω των 25 ετών. </t>
    </r>
    <r>
      <rPr>
        <b/>
        <i/>
        <sz val="9"/>
        <color indexed="8"/>
        <rFont val="Arial"/>
        <family val="2"/>
      </rPr>
      <t>(Αρθρο 38 παρ.2 περ. α)</t>
    </r>
  </si>
  <si>
    <r>
      <t xml:space="preserve">2.  Ειδικά για τα πρόσωπα, παλαιούς και νέους ασφαλισμένους κατά τη διάκριση του ν. 2084/1992, τα οποία υπάγονται ή θα υπάγονταν, σύμφωνα με τις γενικές ή ειδικές ή καταστατικές διατάξεις, όπως ίσχυαν ως την έναρξη ισχύος του παρόν- τος νόμου, στην ασφάλιση του Ε.Τ.Α.Α., το ποσοστό της μηνιαίας ασφαλιστικής εισφοράς για τον κλάδο κύριας σύνταξης ανέρχεται μηνιαίως σε ποσοστό </t>
    </r>
    <r>
      <rPr>
        <sz val="9"/>
        <color indexed="8"/>
        <rFont val="Arial Black"/>
        <family val="2"/>
      </rPr>
      <t>14%</t>
    </r>
    <r>
      <rPr>
        <sz val="9"/>
        <color indexed="8"/>
        <rFont val="Arial"/>
        <family val="2"/>
      </rPr>
      <t xml:space="preserve"> για τα </t>
    </r>
    <r>
      <rPr>
        <u val="single"/>
        <sz val="9"/>
        <color indexed="8"/>
        <rFont val="Arial"/>
        <family val="2"/>
      </rPr>
      <t>πρώτα δύο (2) έτη</t>
    </r>
    <r>
      <rPr>
        <sz val="9"/>
        <color indexed="8"/>
        <rFont val="Arial"/>
        <family val="2"/>
      </rPr>
      <t xml:space="preserve"> από την πρώτη τους υπαγωγή στην ασφάλιση, σε ποσοστό </t>
    </r>
    <r>
      <rPr>
        <sz val="9"/>
        <color indexed="8"/>
        <rFont val="Arial Black"/>
        <family val="2"/>
      </rPr>
      <t>17%</t>
    </r>
    <r>
      <rPr>
        <sz val="9"/>
        <color indexed="8"/>
        <rFont val="Arial"/>
        <family val="2"/>
      </rPr>
      <t xml:space="preserve"> για τα </t>
    </r>
    <r>
      <rPr>
        <u val="single"/>
        <sz val="9"/>
        <color indexed="8"/>
        <rFont val="Arial"/>
        <family val="2"/>
      </rPr>
      <t>επόμενα τρία (3) έτη</t>
    </r>
    <r>
      <rPr>
        <sz val="9"/>
        <color indexed="8"/>
        <rFont val="Arial"/>
        <family val="2"/>
      </rPr>
      <t xml:space="preserve"> και σε ποσοστό </t>
    </r>
    <r>
      <rPr>
        <b/>
        <sz val="9"/>
        <color indexed="8"/>
        <rFont val="Arial Black"/>
        <family val="2"/>
      </rPr>
      <t>20%</t>
    </r>
    <r>
      <rPr>
        <sz val="9"/>
        <color indexed="8"/>
        <rFont val="Arial"/>
        <family val="2"/>
      </rPr>
      <t xml:space="preserve"> για το διάστημα μετά το 5ο έτος της υπαγωγής τους στην ασφάλιση. </t>
    </r>
    <r>
      <rPr>
        <b/>
        <i/>
        <sz val="9"/>
        <color indexed="8"/>
        <rFont val="Arial"/>
        <family val="2"/>
      </rPr>
      <t>(Αρθρο 39 παρ.1 περ. β)</t>
    </r>
  </si>
  <si>
    <r>
      <t>3.</t>
    </r>
    <r>
      <rPr>
        <sz val="9"/>
        <color indexed="8"/>
        <rFont val="Times New Roman"/>
        <family val="1"/>
      </rPr>
      <t xml:space="preserve">    </t>
    </r>
    <r>
      <rPr>
        <sz val="9"/>
        <color indexed="8"/>
        <rFont val="Arial"/>
        <family val="2"/>
      </rPr>
      <t xml:space="preserve">Σε περίπτωση ζημιών ή μηδενικών κερδών τα μέλη των προσωπικών εταιριών καταβάλλουν εισφορές, σύμφωνα με
τα οριζόμενα στην παράγραφο 3 του παρόντος. Στην περίπτωση των ασφαλισμένων της </t>
    </r>
    <r>
      <rPr>
        <u val="single"/>
        <sz val="9"/>
        <color indexed="8"/>
        <rFont val="Arial"/>
        <family val="2"/>
      </rPr>
      <t>περίπτωσης β' της παραγράφου
1 του άθρου 39</t>
    </r>
    <r>
      <rPr>
        <sz val="9"/>
        <color indexed="8"/>
        <rFont val="Arial"/>
        <family val="2"/>
      </rPr>
      <t xml:space="preserve">, το συνολικό ποσό που υπολείπεται του ποσοστού 20% μηνιαίας ασφαλιστικής εισφοράς κατά τα πέντε
πρώτα έτη ασφάλισης αποτελεί ασφαλιστική οφειλή υπολογιζόμενη επί του μηνιαίου εισοδήματος, σύμφωνα με την πα-
ρούσα παράγραφο, προσαυξημένου κατά την ετήσια μεταβολή μισθών, όπως αυτή καθορίζεται από την Ελληνική Στατι-
στική Αρχή. Η οφειλή </t>
    </r>
    <r>
      <rPr>
        <b/>
        <u val="single"/>
        <sz val="9"/>
        <color indexed="8"/>
        <rFont val="Arial"/>
        <family val="2"/>
      </rPr>
      <t>εξοφλείται</t>
    </r>
    <r>
      <rPr>
        <sz val="9"/>
        <color indexed="8"/>
        <rFont val="Arial"/>
        <family val="2"/>
      </rPr>
      <t xml:space="preserve"> κατά 1/5 κατ’ έτος για τα έτη κατά τα οποία το καθαρό φορολογητέο αποτέλεσμα, από
την άσκηση δραστηριότητας του ασφαλισμένου κατά το προηγούμενο φορολογικό έτος, </t>
    </r>
    <r>
      <rPr>
        <b/>
        <u val="single"/>
        <sz val="9"/>
        <color indexed="8"/>
        <rFont val="Arial"/>
        <family val="2"/>
      </rPr>
      <t>υπερβαίνει</t>
    </r>
    <r>
      <rPr>
        <sz val="9"/>
        <color indexed="8"/>
        <rFont val="Arial"/>
        <family val="2"/>
      </rPr>
      <t xml:space="preserve"> το ποσό των δέκα 
οκτώ χιλιάδων </t>
    </r>
    <r>
      <rPr>
        <b/>
        <sz val="9"/>
        <color indexed="8"/>
        <rFont val="Arial Black"/>
        <family val="2"/>
      </rPr>
      <t>(18.000)</t>
    </r>
    <r>
      <rPr>
        <b/>
        <sz val="9"/>
        <color indexed="8"/>
        <rFont val="Arial"/>
        <family val="2"/>
      </rPr>
      <t xml:space="preserve"> ευρώ</t>
    </r>
    <r>
      <rPr>
        <sz val="9"/>
        <color indexed="8"/>
        <rFont val="Arial"/>
        <family val="2"/>
      </rPr>
      <t xml:space="preserve">. Σε κάθε περίπτωση η οφειλή εξοφλείται εξ ολοκλήρου μέχρι και τη συμπλήρωση </t>
    </r>
    <r>
      <rPr>
        <b/>
        <sz val="9"/>
        <color indexed="8"/>
        <rFont val="Arial"/>
        <family val="2"/>
      </rPr>
      <t>δέκα</t>
    </r>
    <r>
      <rPr>
        <sz val="9"/>
        <color indexed="8"/>
        <rFont val="Arial"/>
        <family val="2"/>
      </rPr>
      <t xml:space="preserve"> 
</t>
    </r>
    <r>
      <rPr>
        <b/>
        <sz val="9"/>
        <color indexed="8"/>
        <rFont val="Arial"/>
        <family val="2"/>
      </rPr>
      <t xml:space="preserve">πέντε </t>
    </r>
    <r>
      <rPr>
        <b/>
        <sz val="9"/>
        <color indexed="8"/>
        <rFont val="Arial Black"/>
        <family val="2"/>
      </rPr>
      <t>(15)</t>
    </r>
    <r>
      <rPr>
        <b/>
        <sz val="9"/>
        <color indexed="8"/>
        <rFont val="Arial"/>
        <family val="2"/>
      </rPr>
      <t xml:space="preserve"> ετών ασφάλισης</t>
    </r>
    <r>
      <rPr>
        <sz val="9"/>
        <color indexed="8"/>
        <rFont val="Arial"/>
        <family val="2"/>
      </rPr>
      <t xml:space="preserve">. </t>
    </r>
    <r>
      <rPr>
        <b/>
        <i/>
        <sz val="9"/>
        <color indexed="8"/>
        <rFont val="Arial"/>
        <family val="2"/>
      </rPr>
      <t>(Αρθρο 39 παρ. 2)</t>
    </r>
  </si>
  <si>
    <r>
      <t>4.</t>
    </r>
    <r>
      <rPr>
        <sz val="7"/>
        <color indexed="8"/>
        <rFont val="Times New Roman"/>
        <family val="1"/>
      </rPr>
      <t xml:space="preserve">  </t>
    </r>
    <r>
      <rPr>
        <sz val="9"/>
        <color indexed="8"/>
        <rFont val="Arial"/>
        <family val="2"/>
      </rPr>
      <t>Η</t>
    </r>
    <r>
      <rPr>
        <b/>
        <u val="single"/>
        <sz val="9"/>
        <color indexed="8"/>
        <rFont val="Arial"/>
        <family val="2"/>
      </rPr>
      <t xml:space="preserve"> μηνιαία ελάχιστη </t>
    </r>
    <r>
      <rPr>
        <sz val="9"/>
        <color indexed="8"/>
        <rFont val="Arial"/>
        <family val="2"/>
      </rPr>
      <t xml:space="preserve">βάση υπολογισμού επί της οποίας υπολογίζεται το εκάστοτε προβλεπόμενο ποσοστό εισφοράς 
καθορίζεται με βάση το ποσό που αντιστοιχεί στον κατώτατο βασικό μισθό άγαμου μισθωτού άνω των 25 ετών. Ειδικά 
στην περίπτωση εφαρμογής της </t>
    </r>
    <r>
      <rPr>
        <u val="single"/>
        <sz val="9"/>
        <color indexed="8"/>
        <rFont val="Arial"/>
        <family val="2"/>
      </rPr>
      <t>περίπτωσης β' της παραγράφου 1 άθρου 39</t>
    </r>
    <r>
      <rPr>
        <sz val="9"/>
        <color indexed="8"/>
        <rFont val="Arial"/>
        <family val="2"/>
      </rPr>
      <t xml:space="preserve"> </t>
    </r>
    <r>
      <rPr>
        <u val="single"/>
        <sz val="9"/>
        <color indexed="8"/>
        <rFont val="Arial"/>
        <family val="2"/>
      </rPr>
      <t xml:space="preserve">η ως άνω ελάχιστη μηνιαία βάση υπολο-
γισμού αντιστοιχεί στο </t>
    </r>
    <r>
      <rPr>
        <b/>
        <u val="single"/>
        <sz val="10"/>
        <color indexed="8"/>
        <rFont val="Arial Black"/>
        <family val="2"/>
      </rPr>
      <t>70%</t>
    </r>
    <r>
      <rPr>
        <u val="single"/>
        <sz val="9"/>
        <color indexed="8"/>
        <rFont val="Arial"/>
        <family val="2"/>
      </rPr>
      <t xml:space="preserve"> επί του εκάστοτε προβλεπόμενου κατώτατου βασικού μισθού άγαμου μισθωτού άνω των 25 ετών</t>
    </r>
    <r>
      <rPr>
        <b/>
        <u val="single"/>
        <sz val="9"/>
        <color indexed="8"/>
        <rFont val="Arial"/>
        <family val="2"/>
      </rPr>
      <t xml:space="preserve">.  </t>
    </r>
    <r>
      <rPr>
        <u val="single"/>
        <sz val="9"/>
        <color indexed="8"/>
        <rFont val="Arial"/>
        <family val="2"/>
      </rPr>
      <t xml:space="preserve"> Ως προς το ανώτατο όριο ασφαλιστέου μηνιαίου εισοδήματος εφαρμόζεται σε κάθε περίπτωση η διάταξη της παρ. 2 του άρθρου 38. </t>
    </r>
    <r>
      <rPr>
        <b/>
        <u val="single"/>
        <sz val="9"/>
        <color indexed="8"/>
        <rFont val="Arial"/>
        <family val="2"/>
      </rPr>
      <t xml:space="preserve"> </t>
    </r>
    <r>
      <rPr>
        <b/>
        <i/>
        <u val="single"/>
        <sz val="9"/>
        <color indexed="8"/>
        <rFont val="Arial"/>
        <family val="2"/>
      </rPr>
      <t>(Αρθρο 39 παρ. 3)</t>
    </r>
  </si>
  <si>
    <r>
      <t xml:space="preserve">5. Οι  προσαρμογές του άρθρου 98 </t>
    </r>
    <r>
      <rPr>
        <u val="single"/>
        <sz val="10"/>
        <color indexed="8"/>
        <rFont val="Calibri"/>
        <family val="2"/>
      </rPr>
      <t>εφαρμόζονται και στους κάτω της πενταετίας αυτοαπασχολούμενους</t>
    </r>
    <r>
      <rPr>
        <sz val="10"/>
        <color indexed="8"/>
        <rFont val="Calibri"/>
        <family val="2"/>
      </rPr>
      <t xml:space="preserve"> που υπάγον-
ται ή θα υπάγονται βάσει των ειδικών, γενικών ή καταστατικών διατάξεων, όπως ίσχυαν έως την έναρξη ισχύος του 
παρόντος στο Ε.Τ.Α.Α., για το διάστημα από την 1.1.2017 έως και τις 31.12.2020, και των οποίων το καθαρό φορολο-
γητέο αποτέλεσμα, από την ασκούμενη δραστηριότητά τους κατά το προηγούμενο φορολογικό έτος είναι άνω των</t>
    </r>
    <r>
      <rPr>
        <b/>
        <sz val="10"/>
        <color indexed="8"/>
        <rFont val="Calibri"/>
        <family val="2"/>
      </rPr>
      <t xml:space="preserve"> 4.922,00</t>
    </r>
    <r>
      <rPr>
        <sz val="10"/>
        <color indexed="8"/>
        <rFont val="Calibri"/>
        <family val="2"/>
      </rPr>
      <t xml:space="preserve"> ευρώ. Ειδικά, για την κατηγορία αυτή των ασφαλισμένων, η προσαρμογή ύψους</t>
    </r>
    <r>
      <rPr>
        <b/>
        <sz val="10"/>
        <color indexed="8"/>
        <rFont val="Calibri"/>
        <family val="2"/>
      </rPr>
      <t xml:space="preserve"> 50%</t>
    </r>
    <r>
      <rPr>
        <sz val="10"/>
        <color indexed="8"/>
        <rFont val="Calibri"/>
        <family val="2"/>
      </rPr>
      <t xml:space="preserve"> εφαρμόζεται στις περι-
πτώσεις που το φορολογητέο εισόδημα ανέρχεται μεταξύ 4.922 και 13.000 ευρώ. </t>
    </r>
    <r>
      <rPr>
        <b/>
        <i/>
        <sz val="10"/>
        <color indexed="8"/>
        <rFont val="Calibri"/>
        <family val="2"/>
      </rPr>
      <t>(Αρθρο 98 παρ. 3)</t>
    </r>
  </si>
  <si>
    <t>ΣΥΓΚΕΚΡΙΜΕΝΕΣ ΣΗΜΕΙΩΣΕΙΣ ΓΙΑ ΤΟ ΑΣΦΑΛΙΣΤΙΚΟ</t>
  </si>
  <si>
    <t xml:space="preserve">ΠΙΝΑΚΕΣ % ΠΡΟΣΑΡΜΟΓΗΣ </t>
  </si>
  <si>
    <t>Για τους άνω της 5ετίας</t>
  </si>
  <si>
    <t>Για τους κάτω της 5ετίας</t>
  </si>
  <si>
    <t>Από</t>
  </si>
  <si>
    <t>Εως</t>
  </si>
  <si>
    <r>
      <t xml:space="preserve">% 
</t>
    </r>
    <r>
      <rPr>
        <b/>
        <sz val="8.5"/>
        <color indexed="8"/>
        <rFont val="Arial"/>
        <family val="2"/>
      </rPr>
      <t>προσαρμογής</t>
    </r>
  </si>
  <si>
    <t xml:space="preserve">έως </t>
  </si>
  <si>
    <t>15 00%</t>
  </si>
  <si>
    <t>. 12,00%</t>
  </si>
  <si>
    <r>
      <t>Εισόδημα ακίνητης περιουσίας </t>
    </r>
    <r>
      <rPr>
        <b/>
        <sz val="10"/>
        <color indexed="10"/>
        <rFont val="Comic Sans MS"/>
        <family val="4"/>
      </rPr>
      <t xml:space="preserve"> </t>
    </r>
  </si>
  <si>
    <t xml:space="preserve">ΝΕΑ ΚΛΙΜΑΚΑ ΑΓΡΟΤΙΚΩΝ ΕΙΣΟΔΗΜΑΤΩΝ </t>
  </si>
  <si>
    <r>
      <rPr>
        <b/>
        <sz val="9"/>
        <color indexed="12"/>
        <rFont val="Comic Sans MS"/>
        <family val="4"/>
      </rPr>
      <t>ΕΚΠΤΩΣΗ ΦΟΡΟΥ</t>
    </r>
    <r>
      <rPr>
        <b/>
        <sz val="10.5"/>
        <color indexed="10"/>
        <rFont val="Comic Sans MS"/>
        <family val="4"/>
      </rPr>
      <t xml:space="preserve"> (από 1.1.2016) </t>
    </r>
  </si>
  <si>
    <t>Συντ. Επικουρικού</t>
  </si>
  <si>
    <t>Συντ. Εφάπαξ</t>
  </si>
  <si>
    <r>
      <t xml:space="preserve">* ΤΑ ΕΙΣΟΔΗΜΑΤΑ ΠΟΥ ΕΊΝΑΙ ΑΝΩ ΤΩΝ </t>
    </r>
    <r>
      <rPr>
        <b/>
        <i/>
        <sz val="14"/>
        <color indexed="12"/>
        <rFont val="Calibri"/>
        <family val="2"/>
      </rPr>
      <t xml:space="preserve">70.329,60 </t>
    </r>
    <r>
      <rPr>
        <b/>
        <i/>
        <sz val="11"/>
        <color indexed="12"/>
        <rFont val="Calibri"/>
        <family val="2"/>
      </rPr>
      <t xml:space="preserve">(586,08 Χ 10 Χ 12) ΕΥΡΏ ΔΕΝ ΥΠΟΚΕΙΝΤΑΙ ΣΕ ΠΑΡΑΚΡΑΤΗΣΗ ΑΣΦΑΛΙΣΤΙΚΩΝ ΕΙΣΦΟΡΩΝ </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</si>
</sst>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Ναι&quot;;&quot;Ναι&quot;;&quot;'Οχι&quot;"/>
    <numFmt numFmtId="165" formatCode="&quot;Αληθές&quot;;&quot;Αληθές&quot;;&quot;Ψευδές&quot;"/>
    <numFmt numFmtId="166" formatCode="&quot;Ενεργοποίηση&quot;;&quot;Ενεργοποίηση&quot;;&quot;Απενεργοποίηση&quot;"/>
    <numFmt numFmtId="167" formatCode="[$€-2]\ #,##0.00_);[Red]\([$€-2]\ #,##0.00\)"/>
  </numFmts>
  <fonts count="170">
    <font>
      <sz val="11"/>
      <color theme="1"/>
      <name val="Calibri"/>
      <family val="2"/>
    </font>
    <font>
      <sz val="11"/>
      <color indexed="8"/>
      <name val="Calibri"/>
      <family val="2"/>
    </font>
    <font>
      <b/>
      <sz val="10.5"/>
      <color indexed="10"/>
      <name val="Comic Sans MS"/>
      <family val="4"/>
    </font>
    <font>
      <b/>
      <sz val="11"/>
      <color indexed="10"/>
      <name val="Comic Sans MS"/>
      <family val="4"/>
    </font>
    <font>
      <sz val="11"/>
      <color indexed="12"/>
      <name val="Calibri"/>
      <family val="2"/>
    </font>
    <font>
      <u val="single"/>
      <sz val="11"/>
      <color indexed="10"/>
      <name val="Calibri"/>
      <family val="2"/>
    </font>
    <font>
      <b/>
      <sz val="11"/>
      <color indexed="12"/>
      <name val="Calibri"/>
      <family val="2"/>
    </font>
    <font>
      <b/>
      <sz val="11"/>
      <color indexed="10"/>
      <name val="Calibri"/>
      <family val="2"/>
    </font>
    <font>
      <b/>
      <sz val="12"/>
      <color indexed="12"/>
      <name val="Comic Sans MS"/>
      <family val="4"/>
    </font>
    <font>
      <b/>
      <sz val="10"/>
      <color indexed="12"/>
      <name val="Comic Sans MS"/>
      <family val="4"/>
    </font>
    <font>
      <b/>
      <i/>
      <sz val="14"/>
      <color indexed="40"/>
      <name val="Cambria"/>
      <family val="1"/>
    </font>
    <font>
      <b/>
      <u val="single"/>
      <sz val="10"/>
      <color indexed="12"/>
      <name val="Arial Narrow"/>
      <family val="2"/>
    </font>
    <font>
      <b/>
      <u val="single"/>
      <sz val="11"/>
      <color indexed="12"/>
      <name val="Arial Narrow"/>
      <family val="2"/>
    </font>
    <font>
      <sz val="11"/>
      <color indexed="12"/>
      <name val="Arial Black"/>
      <family val="2"/>
    </font>
    <font>
      <b/>
      <u val="single"/>
      <sz val="12"/>
      <color indexed="12"/>
      <name val="Arial Narrow"/>
      <family val="2"/>
    </font>
    <font>
      <u val="single"/>
      <sz val="10"/>
      <color indexed="12"/>
      <name val="Arial Narrow"/>
      <family val="2"/>
    </font>
    <font>
      <b/>
      <i/>
      <sz val="14"/>
      <color indexed="12"/>
      <name val="Cambria"/>
      <family val="1"/>
    </font>
    <font>
      <b/>
      <sz val="9"/>
      <color indexed="12"/>
      <name val="Comic Sans MS"/>
      <family val="4"/>
    </font>
    <font>
      <b/>
      <u val="single"/>
      <sz val="10"/>
      <color indexed="12"/>
      <name val="Comic Sans MS"/>
      <family val="4"/>
    </font>
    <font>
      <sz val="8"/>
      <name val="Comic Sans MS"/>
      <family val="4"/>
    </font>
    <font>
      <sz val="14"/>
      <name val="Comic Sans MS"/>
      <family val="4"/>
    </font>
    <font>
      <b/>
      <u val="single"/>
      <sz val="8"/>
      <name val="Comic Sans MS"/>
      <family val="4"/>
    </font>
    <font>
      <b/>
      <i/>
      <sz val="12"/>
      <color indexed="12"/>
      <name val="Cambria"/>
      <family val="1"/>
    </font>
    <font>
      <b/>
      <u val="single"/>
      <sz val="8"/>
      <color indexed="12"/>
      <name val="Comic Sans MS"/>
      <family val="4"/>
    </font>
    <font>
      <b/>
      <sz val="11"/>
      <color indexed="8"/>
      <name val="Comic Sans MS"/>
      <family val="4"/>
    </font>
    <font>
      <b/>
      <sz val="11"/>
      <name val="Comic Sans MS"/>
      <family val="4"/>
    </font>
    <font>
      <u val="single"/>
      <sz val="7"/>
      <color indexed="12"/>
      <name val="Arial Narrow"/>
      <family val="2"/>
    </font>
    <font>
      <b/>
      <i/>
      <sz val="13"/>
      <name val="Arial Narrow"/>
      <family val="2"/>
    </font>
    <font>
      <b/>
      <sz val="8"/>
      <color indexed="8"/>
      <name val="Comic Sans MS"/>
      <family val="4"/>
    </font>
    <font>
      <b/>
      <i/>
      <u val="single"/>
      <sz val="14"/>
      <color indexed="12"/>
      <name val="Cambria"/>
      <family val="1"/>
    </font>
    <font>
      <b/>
      <i/>
      <sz val="11"/>
      <color indexed="12"/>
      <name val="Cambria"/>
      <family val="1"/>
    </font>
    <font>
      <b/>
      <i/>
      <sz val="13"/>
      <color indexed="12"/>
      <name val="Cambria"/>
      <family val="1"/>
    </font>
    <font>
      <b/>
      <i/>
      <u val="single"/>
      <sz val="13"/>
      <color indexed="12"/>
      <name val="Cambria"/>
      <family val="1"/>
    </font>
    <font>
      <b/>
      <sz val="14"/>
      <color indexed="12"/>
      <name val="Cambria"/>
      <family val="1"/>
    </font>
    <font>
      <b/>
      <sz val="13"/>
      <color indexed="12"/>
      <name val="Cambria"/>
      <family val="1"/>
    </font>
    <font>
      <b/>
      <i/>
      <u val="single"/>
      <sz val="12"/>
      <color indexed="12"/>
      <name val="Cambria"/>
      <family val="1"/>
    </font>
    <font>
      <sz val="9"/>
      <color indexed="8"/>
      <name val="Arial"/>
      <family val="2"/>
    </font>
    <font>
      <b/>
      <sz val="9"/>
      <color indexed="8"/>
      <name val="Arial"/>
      <family val="2"/>
    </font>
    <font>
      <b/>
      <i/>
      <sz val="9"/>
      <color indexed="8"/>
      <name val="Arial"/>
      <family val="2"/>
    </font>
    <font>
      <sz val="9"/>
      <color indexed="8"/>
      <name val="Arial Black"/>
      <family val="2"/>
    </font>
    <font>
      <u val="single"/>
      <sz val="9"/>
      <color indexed="8"/>
      <name val="Arial"/>
      <family val="2"/>
    </font>
    <font>
      <b/>
      <sz val="9"/>
      <color indexed="8"/>
      <name val="Arial Black"/>
      <family val="2"/>
    </font>
    <font>
      <sz val="9"/>
      <color indexed="8"/>
      <name val="Times New Roman"/>
      <family val="1"/>
    </font>
    <font>
      <b/>
      <u val="single"/>
      <sz val="9"/>
      <color indexed="8"/>
      <name val="Arial"/>
      <family val="2"/>
    </font>
    <font>
      <sz val="7"/>
      <color indexed="8"/>
      <name val="Times New Roman"/>
      <family val="1"/>
    </font>
    <font>
      <b/>
      <u val="single"/>
      <sz val="10"/>
      <color indexed="8"/>
      <name val="Arial Black"/>
      <family val="2"/>
    </font>
    <font>
      <b/>
      <i/>
      <u val="single"/>
      <sz val="9"/>
      <color indexed="8"/>
      <name val="Arial"/>
      <family val="2"/>
    </font>
    <font>
      <u val="single"/>
      <sz val="10"/>
      <color indexed="8"/>
      <name val="Calibri"/>
      <family val="2"/>
    </font>
    <font>
      <sz val="10"/>
      <color indexed="8"/>
      <name val="Calibri"/>
      <family val="2"/>
    </font>
    <font>
      <b/>
      <sz val="10"/>
      <color indexed="8"/>
      <name val="Calibri"/>
      <family val="2"/>
    </font>
    <font>
      <b/>
      <i/>
      <sz val="10"/>
      <color indexed="8"/>
      <name val="Calibri"/>
      <family val="2"/>
    </font>
    <font>
      <b/>
      <sz val="8.5"/>
      <color indexed="8"/>
      <name val="Arial"/>
      <family val="2"/>
    </font>
    <font>
      <b/>
      <sz val="10"/>
      <color indexed="10"/>
      <name val="Comic Sans MS"/>
      <family val="4"/>
    </font>
    <font>
      <b/>
      <i/>
      <sz val="11"/>
      <color indexed="12"/>
      <name val="Calibri"/>
      <family val="2"/>
    </font>
    <font>
      <b/>
      <i/>
      <sz val="14"/>
      <color indexed="12"/>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u val="single"/>
      <sz val="11"/>
      <color indexed="12"/>
      <name val="Calibri"/>
      <family val="2"/>
    </font>
    <font>
      <u val="single"/>
      <sz val="11"/>
      <color indexed="20"/>
      <name val="Calibri"/>
      <family val="2"/>
    </font>
    <font>
      <b/>
      <sz val="11"/>
      <color indexed="52"/>
      <name val="Calibri"/>
      <family val="2"/>
    </font>
    <font>
      <sz val="12"/>
      <color indexed="8"/>
      <name val="Times New Roman"/>
      <family val="1"/>
    </font>
    <font>
      <b/>
      <sz val="11"/>
      <color indexed="12"/>
      <name val="Comic Sans MS"/>
      <family val="4"/>
    </font>
    <font>
      <b/>
      <sz val="11"/>
      <color indexed="9"/>
      <name val="Comic Sans MS"/>
      <family val="4"/>
    </font>
    <font>
      <b/>
      <sz val="11"/>
      <color indexed="9"/>
      <name val="Century Gothic"/>
      <family val="2"/>
    </font>
    <font>
      <b/>
      <i/>
      <sz val="11"/>
      <color indexed="12"/>
      <name val="Centaur"/>
      <family val="1"/>
    </font>
    <font>
      <b/>
      <sz val="9"/>
      <color indexed="9"/>
      <name val="Arial Narrow"/>
      <family val="2"/>
    </font>
    <font>
      <sz val="11"/>
      <color indexed="8"/>
      <name val="Times New Roman"/>
      <family val="1"/>
    </font>
    <font>
      <b/>
      <sz val="11"/>
      <color indexed="9"/>
      <name val="Arial Black"/>
      <family val="2"/>
    </font>
    <font>
      <i/>
      <sz val="10"/>
      <color indexed="8"/>
      <name val="Georgia"/>
      <family val="1"/>
    </font>
    <font>
      <b/>
      <i/>
      <sz val="13"/>
      <color indexed="8"/>
      <name val="Arial Narrow"/>
      <family val="2"/>
    </font>
    <font>
      <sz val="12"/>
      <color indexed="8"/>
      <name val="Bernard MT Condensed"/>
      <family val="1"/>
    </font>
    <font>
      <i/>
      <sz val="9"/>
      <color indexed="8"/>
      <name val="Cambria"/>
      <family val="1"/>
    </font>
    <font>
      <sz val="12"/>
      <color indexed="8"/>
      <name val="Showcard Gothic"/>
      <family val="5"/>
    </font>
    <font>
      <b/>
      <sz val="9"/>
      <color indexed="30"/>
      <name val="Times New Roman"/>
      <family val="1"/>
    </font>
    <font>
      <b/>
      <u val="single"/>
      <sz val="12"/>
      <color indexed="30"/>
      <name val="Times New Roman"/>
      <family val="1"/>
    </font>
    <font>
      <b/>
      <sz val="12"/>
      <color indexed="12"/>
      <name val="Times New Roman"/>
      <family val="1"/>
    </font>
    <font>
      <b/>
      <sz val="14"/>
      <color indexed="9"/>
      <name val="Calibri"/>
      <family val="2"/>
    </font>
    <font>
      <b/>
      <sz val="11"/>
      <color indexed="8"/>
      <name val="Times New Roman"/>
      <family val="1"/>
    </font>
    <font>
      <sz val="5"/>
      <color indexed="8"/>
      <name val="Courier New"/>
      <family val="3"/>
    </font>
    <font>
      <sz val="1"/>
      <color indexed="8"/>
      <name val="Courier New"/>
      <family val="3"/>
    </font>
    <font>
      <b/>
      <sz val="10.5"/>
      <color indexed="30"/>
      <name val="Comic Sans MS"/>
      <family val="4"/>
    </font>
    <font>
      <sz val="11"/>
      <color indexed="8"/>
      <name val="Showcard Gothic"/>
      <family val="5"/>
    </font>
    <font>
      <b/>
      <u val="single"/>
      <sz val="10.5"/>
      <color indexed="12"/>
      <name val="Comic Sans MS"/>
      <family val="4"/>
    </font>
    <font>
      <u val="single"/>
      <sz val="11"/>
      <color indexed="8"/>
      <name val="Calibri"/>
      <family val="2"/>
    </font>
    <font>
      <b/>
      <sz val="11"/>
      <color indexed="10"/>
      <name val="Times New Roman"/>
      <family val="1"/>
    </font>
    <font>
      <b/>
      <sz val="10"/>
      <color indexed="30"/>
      <name val="Comic Sans MS"/>
      <family val="4"/>
    </font>
    <font>
      <b/>
      <sz val="16"/>
      <color indexed="8"/>
      <name val="Narkisim"/>
      <family val="2"/>
    </font>
    <font>
      <sz val="8.5"/>
      <color indexed="8"/>
      <name val="Arial"/>
      <family val="2"/>
    </font>
    <font>
      <sz val="18"/>
      <color indexed="8"/>
      <name val="Franklin Gothic Heavy"/>
      <family val="2"/>
    </font>
    <font>
      <sz val="11"/>
      <color indexed="8"/>
      <name val="Arial Black"/>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sz val="12"/>
      <color rgb="FF000000"/>
      <name val="Times New Roman"/>
      <family val="1"/>
    </font>
    <font>
      <b/>
      <sz val="11"/>
      <color rgb="FF0000FF"/>
      <name val="Comic Sans MS"/>
      <family val="4"/>
    </font>
    <font>
      <sz val="11"/>
      <color rgb="FF0000FF"/>
      <name val="Calibri"/>
      <family val="2"/>
    </font>
    <font>
      <b/>
      <sz val="11"/>
      <color theme="0"/>
      <name val="Comic Sans MS"/>
      <family val="4"/>
    </font>
    <font>
      <b/>
      <sz val="11"/>
      <color theme="0"/>
      <name val="Century Gothic"/>
      <family val="2"/>
    </font>
    <font>
      <b/>
      <sz val="11"/>
      <color rgb="FF000000"/>
      <name val="Calibri"/>
      <family val="2"/>
    </font>
    <font>
      <b/>
      <sz val="12"/>
      <color rgb="FF0000FF"/>
      <name val="Comic Sans MS"/>
      <family val="4"/>
    </font>
    <font>
      <b/>
      <sz val="10"/>
      <color rgb="FF0000FF"/>
      <name val="Comic Sans MS"/>
      <family val="4"/>
    </font>
    <font>
      <b/>
      <sz val="11"/>
      <color rgb="FFFFFFFF"/>
      <name val="Calibri"/>
      <family val="2"/>
    </font>
    <font>
      <b/>
      <i/>
      <sz val="11"/>
      <color rgb="FF0000FF"/>
      <name val="Centaur"/>
      <family val="1"/>
    </font>
    <font>
      <b/>
      <sz val="9"/>
      <color theme="0"/>
      <name val="Arial Narrow"/>
      <family val="2"/>
    </font>
    <font>
      <sz val="11"/>
      <color rgb="FF000000"/>
      <name val="Times New Roman"/>
      <family val="1"/>
    </font>
    <font>
      <b/>
      <u val="single"/>
      <sz val="10"/>
      <color rgb="FF0000FF"/>
      <name val="Arial Narrow"/>
      <family val="2"/>
    </font>
    <font>
      <sz val="11"/>
      <color theme="10"/>
      <name val="Calibri"/>
      <family val="2"/>
    </font>
    <font>
      <b/>
      <u val="single"/>
      <sz val="11"/>
      <color rgb="FF0000FF"/>
      <name val="Arial Narrow"/>
      <family val="2"/>
    </font>
    <font>
      <b/>
      <sz val="11"/>
      <color rgb="FFFF0000"/>
      <name val="Comic Sans MS"/>
      <family val="4"/>
    </font>
    <font>
      <b/>
      <sz val="11"/>
      <color theme="0"/>
      <name val="Arial Black"/>
      <family val="2"/>
    </font>
    <font>
      <b/>
      <sz val="11"/>
      <color theme="1"/>
      <name val="Comic Sans MS"/>
      <family val="4"/>
    </font>
    <font>
      <i/>
      <sz val="10"/>
      <color theme="1"/>
      <name val="Georgia"/>
      <family val="1"/>
    </font>
    <font>
      <b/>
      <i/>
      <sz val="13"/>
      <color theme="1"/>
      <name val="Arial Narrow"/>
      <family val="2"/>
    </font>
    <font>
      <sz val="12"/>
      <color theme="1"/>
      <name val="Bernard MT Condensed"/>
      <family val="1"/>
    </font>
    <font>
      <i/>
      <sz val="9"/>
      <color theme="1"/>
      <name val="Cambria"/>
      <family val="1"/>
    </font>
    <font>
      <sz val="12"/>
      <color theme="1"/>
      <name val="Showcard Gothic"/>
      <family val="5"/>
    </font>
    <font>
      <sz val="9"/>
      <color rgb="FF000000"/>
      <name val="Arial"/>
      <family val="2"/>
    </font>
    <font>
      <b/>
      <sz val="9"/>
      <color rgb="FF0041CC"/>
      <name val="Times New Roman"/>
      <family val="1"/>
    </font>
    <font>
      <b/>
      <u val="single"/>
      <sz val="12"/>
      <color rgb="FF0070C0"/>
      <name val="Times New Roman"/>
      <family val="1"/>
    </font>
    <font>
      <b/>
      <sz val="12"/>
      <color rgb="FF0000FF"/>
      <name val="Times New Roman"/>
      <family val="1"/>
    </font>
    <font>
      <b/>
      <sz val="14"/>
      <color theme="0"/>
      <name val="Calibri"/>
      <family val="2"/>
    </font>
    <font>
      <b/>
      <sz val="8.5"/>
      <color rgb="FF000000"/>
      <name val="Arial"/>
      <family val="2"/>
    </font>
    <font>
      <b/>
      <sz val="11"/>
      <color rgb="FF000000"/>
      <name val="Times New Roman"/>
      <family val="1"/>
    </font>
    <font>
      <sz val="5"/>
      <color rgb="FF000000"/>
      <name val="Courier New"/>
      <family val="3"/>
    </font>
    <font>
      <sz val="1"/>
      <color rgb="FF000000"/>
      <name val="Courier New"/>
      <family val="3"/>
    </font>
    <font>
      <b/>
      <sz val="10.5"/>
      <color rgb="FF0041CC"/>
      <name val="Comic Sans MS"/>
      <family val="4"/>
    </font>
    <font>
      <sz val="11"/>
      <color theme="1"/>
      <name val="Showcard Gothic"/>
      <family val="5"/>
    </font>
    <font>
      <b/>
      <i/>
      <sz val="11"/>
      <color rgb="FF0000FF"/>
      <name val="Calibri"/>
      <family val="2"/>
    </font>
    <font>
      <b/>
      <sz val="11"/>
      <color rgb="FFFF0000"/>
      <name val="Times New Roman"/>
      <family val="1"/>
    </font>
    <font>
      <b/>
      <sz val="10"/>
      <color rgb="FF0041CC"/>
      <name val="Comic Sans MS"/>
      <family val="4"/>
    </font>
    <font>
      <b/>
      <u val="single"/>
      <sz val="10.5"/>
      <color rgb="FF0000FF"/>
      <name val="Comic Sans MS"/>
      <family val="4"/>
    </font>
    <font>
      <u val="single"/>
      <sz val="11"/>
      <color theme="1"/>
      <name val="Calibri"/>
      <family val="2"/>
    </font>
    <font>
      <b/>
      <sz val="10.5"/>
      <color rgb="FFFF0000"/>
      <name val="Comic Sans MS"/>
      <family val="4"/>
    </font>
    <font>
      <b/>
      <i/>
      <sz val="14"/>
      <color rgb="FF00B0F0"/>
      <name val="Cambria"/>
      <family val="1"/>
    </font>
    <font>
      <sz val="10"/>
      <color theme="1"/>
      <name val="Calibri"/>
      <family val="2"/>
    </font>
    <font>
      <b/>
      <sz val="16"/>
      <color theme="1"/>
      <name val="Narkisim"/>
      <family val="2"/>
    </font>
    <font>
      <sz val="8.5"/>
      <color rgb="FF000000"/>
      <name val="Arial"/>
      <family val="2"/>
    </font>
    <font>
      <sz val="9"/>
      <color theme="1"/>
      <name val="Arial"/>
      <family val="2"/>
    </font>
    <font>
      <sz val="18"/>
      <color theme="1"/>
      <name val="Franklin Gothic Heavy"/>
      <family val="2"/>
    </font>
    <font>
      <sz val="11"/>
      <color theme="1"/>
      <name val="Arial Black"/>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FDFDF"/>
        <bgColor indexed="64"/>
      </patternFill>
    </fill>
    <fill>
      <patternFill patternType="solid">
        <fgColor rgb="FFFFFF00"/>
        <bgColor indexed="64"/>
      </patternFill>
    </fill>
    <fill>
      <patternFill patternType="solid">
        <fgColor rgb="FFCC0000"/>
        <bgColor indexed="64"/>
      </patternFill>
    </fill>
    <fill>
      <patternFill patternType="solid">
        <fgColor rgb="FFFF0000"/>
        <bgColor indexed="64"/>
      </patternFill>
    </fill>
    <fill>
      <patternFill patternType="solid">
        <fgColor theme="0" tint="-0.04997999966144562"/>
        <bgColor indexed="64"/>
      </patternFill>
    </fill>
    <fill>
      <patternFill patternType="solid">
        <fgColor rgb="FFFF9966"/>
        <bgColor indexed="64"/>
      </patternFill>
    </fill>
    <fill>
      <patternFill patternType="solid">
        <fgColor rgb="FFFFC000"/>
        <bgColor indexed="64"/>
      </patternFill>
    </fill>
    <fill>
      <patternFill patternType="solid">
        <fgColor rgb="FFFFFFFF"/>
        <bgColor indexed="64"/>
      </patternFill>
    </fill>
    <fill>
      <patternFill patternType="solid">
        <fgColor rgb="FFC0000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FFFFFF"/>
      </left>
      <right style="medium">
        <color rgb="FFFFFFFF"/>
      </right>
      <top>
        <color indexed="63"/>
      </top>
      <bottom style="medium">
        <color rgb="FFFFFFFF"/>
      </bottom>
    </border>
    <border>
      <left>
        <color indexed="63"/>
      </left>
      <right style="medium">
        <color rgb="FFFFFFFF"/>
      </right>
      <top>
        <color indexed="63"/>
      </top>
      <bottom style="medium">
        <color rgb="FFFFFFFF"/>
      </bottom>
    </border>
    <border>
      <left>
        <color indexed="63"/>
      </left>
      <right style="medium"/>
      <top>
        <color indexed="63"/>
      </top>
      <bottom style="medium"/>
    </border>
    <border>
      <left style="medium"/>
      <right style="medium"/>
      <top>
        <color indexed="63"/>
      </top>
      <bottom style="mediu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color indexed="63"/>
      </left>
      <right style="thin">
        <color theme="0"/>
      </right>
      <top style="thin">
        <color theme="0"/>
      </top>
      <bottom style="thin">
        <color theme="0"/>
      </bottom>
    </border>
    <border>
      <left style="thin">
        <color theme="0"/>
      </left>
      <right>
        <color indexed="63"/>
      </right>
      <top>
        <color indexed="63"/>
      </top>
      <bottom style="thin">
        <color theme="0"/>
      </bottom>
    </border>
    <border>
      <left style="thin">
        <color theme="1"/>
      </left>
      <right style="thin">
        <color theme="1"/>
      </right>
      <top style="thin">
        <color theme="1"/>
      </top>
      <bottom style="thin">
        <color theme="1"/>
      </bottom>
    </border>
    <border>
      <left style="thin">
        <color theme="0"/>
      </left>
      <right>
        <color indexed="63"/>
      </right>
      <top>
        <color indexed="63"/>
      </top>
      <bottom>
        <color indexed="63"/>
      </bottom>
    </border>
    <border>
      <left style="medium"/>
      <right style="medium"/>
      <top>
        <color indexed="63"/>
      </top>
      <bottom>
        <color indexed="63"/>
      </bottom>
    </border>
    <border>
      <left style="thin">
        <color theme="0"/>
      </left>
      <right style="thin">
        <color theme="0"/>
      </right>
      <top>
        <color indexed="63"/>
      </top>
      <bottom style="thin">
        <color theme="0"/>
      </bottom>
    </border>
    <border>
      <left style="thin">
        <color theme="1"/>
      </left>
      <right style="thin">
        <color theme="1"/>
      </right>
      <top style="thin">
        <color theme="1"/>
      </top>
      <bottom>
        <color indexed="63"/>
      </bottom>
    </border>
    <border>
      <left style="thin">
        <color theme="1"/>
      </left>
      <right>
        <color indexed="63"/>
      </right>
      <top style="thin">
        <color theme="1"/>
      </top>
      <bottom style="thin">
        <color theme="1"/>
      </bottom>
    </border>
    <border>
      <left style="thin"/>
      <right style="thin"/>
      <top style="thin"/>
      <bottom style="thin"/>
    </border>
    <border>
      <left>
        <color indexed="63"/>
      </left>
      <right style="thin">
        <color theme="1"/>
      </right>
      <top style="thin">
        <color theme="1"/>
      </top>
      <bottom style="thin">
        <color theme="1"/>
      </bottom>
    </border>
    <border>
      <left style="thin">
        <color theme="1"/>
      </left>
      <right style="thin">
        <color theme="1"/>
      </right>
      <top>
        <color indexed="63"/>
      </top>
      <bottom style="thin">
        <color theme="1"/>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thin"/>
      <right style="thin"/>
      <top/>
      <bottom style="thin"/>
    </border>
    <border>
      <left>
        <color indexed="63"/>
      </left>
      <right>
        <color indexed="63"/>
      </right>
      <top>
        <color indexed="63"/>
      </top>
      <bottom style="medium">
        <color rgb="FFFFFFFF"/>
      </bottom>
    </border>
    <border>
      <left style="medium">
        <color rgb="FFFFFFFF"/>
      </left>
      <right>
        <color indexed="63"/>
      </right>
      <top>
        <color indexed="63"/>
      </top>
      <bottom>
        <color indexed="63"/>
      </bottom>
    </border>
    <border>
      <left style="thin"/>
      <right style="thin">
        <color theme="0"/>
      </right>
      <top>
        <color indexed="63"/>
      </top>
      <bottom>
        <color indexed="63"/>
      </bottom>
    </border>
    <border>
      <left style="thin">
        <color theme="0"/>
      </left>
      <right style="thin">
        <color theme="0"/>
      </right>
      <top>
        <color indexed="63"/>
      </top>
      <bottom>
        <color indexed="63"/>
      </bottom>
    </border>
    <border>
      <left style="medium">
        <color theme="1"/>
      </left>
      <right>
        <color indexed="63"/>
      </right>
      <top style="medium">
        <color theme="1"/>
      </top>
      <bottom style="medium">
        <color theme="1"/>
      </bottom>
    </border>
    <border>
      <left>
        <color indexed="63"/>
      </left>
      <right style="medium">
        <color theme="1"/>
      </right>
      <top style="medium">
        <color theme="1"/>
      </top>
      <bottom style="medium">
        <color theme="1"/>
      </bottom>
    </border>
    <border>
      <left>
        <color indexed="63"/>
      </left>
      <right style="thin"/>
      <top style="medium">
        <color theme="1"/>
      </top>
      <bottom style="medium">
        <color theme="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color indexed="63"/>
      </right>
      <top style="medium">
        <color theme="1"/>
      </top>
      <bottom style="medium">
        <color theme="1"/>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style="medium">
        <color theme="1"/>
      </bottom>
    </border>
    <border>
      <left style="medium">
        <color rgb="FFFFFFFF"/>
      </left>
      <right style="medium">
        <color rgb="FFFFFFFF"/>
      </right>
      <top>
        <color indexed="63"/>
      </top>
      <bottom>
        <color indexed="63"/>
      </bottom>
    </border>
    <border>
      <left style="medium">
        <color rgb="FFFFFFFF"/>
      </left>
      <right>
        <color indexed="63"/>
      </right>
      <top>
        <color indexed="63"/>
      </top>
      <bottom style="medium">
        <color rgb="FFFFFFFF"/>
      </bottom>
    </border>
    <border>
      <left style="medium">
        <color rgb="FFFFFFFF"/>
      </left>
      <right style="medium">
        <color rgb="FFFFFFFF"/>
      </right>
      <top style="medium">
        <color rgb="FFFFFFFF"/>
      </top>
      <bottom>
        <color indexed="63"/>
      </bottom>
    </border>
    <border>
      <left style="medium">
        <color rgb="FFFFFFFF"/>
      </left>
      <right>
        <color indexed="63"/>
      </right>
      <top style="medium">
        <color rgb="FFFFFFFF"/>
      </top>
      <bottom style="medium">
        <color rgb="FFFFFFFF"/>
      </bottom>
    </border>
    <border>
      <left>
        <color indexed="63"/>
      </left>
      <right>
        <color indexed="63"/>
      </right>
      <top style="medium">
        <color rgb="FFFFFFFF"/>
      </top>
      <bottom style="medium">
        <color rgb="FFFFFFFF"/>
      </bottom>
    </border>
    <border>
      <left>
        <color indexed="63"/>
      </left>
      <right style="thin">
        <color theme="0"/>
      </right>
      <top>
        <color indexed="63"/>
      </top>
      <bottom>
        <color indexed="63"/>
      </bottom>
    </border>
    <border>
      <left>
        <color indexed="63"/>
      </left>
      <right>
        <color indexed="63"/>
      </right>
      <top>
        <color indexed="63"/>
      </top>
      <bottom style="thin">
        <color theme="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3" fillId="14" borderId="0" applyNumberFormat="0" applyBorder="0" applyAlignment="0" applyProtection="0"/>
    <xf numFmtId="0" fontId="103" fillId="15" borderId="0" applyNumberFormat="0" applyBorder="0" applyAlignment="0" applyProtection="0"/>
    <xf numFmtId="0" fontId="103" fillId="16" borderId="0" applyNumberFormat="0" applyBorder="0" applyAlignment="0" applyProtection="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22" borderId="0" applyNumberFormat="0" applyBorder="0" applyAlignment="0" applyProtection="0"/>
    <xf numFmtId="0" fontId="103" fillId="23"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104" fillId="26" borderId="0" applyNumberFormat="0" applyBorder="0" applyAlignment="0" applyProtection="0"/>
    <xf numFmtId="0" fontId="105" fillId="27" borderId="1" applyNumberFormat="0" applyAlignment="0" applyProtection="0"/>
    <xf numFmtId="0" fontId="10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29" borderId="0" applyNumberFormat="0" applyBorder="0" applyAlignment="0" applyProtection="0"/>
    <xf numFmtId="0" fontId="110" fillId="0" borderId="3" applyNumberFormat="0" applyFill="0" applyAlignment="0" applyProtection="0"/>
    <xf numFmtId="0" fontId="111" fillId="0" borderId="4" applyNumberFormat="0" applyFill="0" applyAlignment="0" applyProtection="0"/>
    <xf numFmtId="0" fontId="112" fillId="0" borderId="5" applyNumberFormat="0" applyFill="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4" fillId="30" borderId="1" applyNumberFormat="0" applyAlignment="0" applyProtection="0"/>
    <xf numFmtId="0" fontId="115" fillId="0" borderId="6" applyNumberFormat="0" applyFill="0" applyAlignment="0" applyProtection="0"/>
    <xf numFmtId="0" fontId="116" fillId="31" borderId="0" applyNumberFormat="0" applyBorder="0" applyAlignment="0" applyProtection="0"/>
    <xf numFmtId="0" fontId="0" fillId="32" borderId="7" applyNumberFormat="0" applyFont="0" applyAlignment="0" applyProtection="0"/>
    <xf numFmtId="0" fontId="117" fillId="27" borderId="8" applyNumberFormat="0" applyAlignment="0" applyProtection="0"/>
    <xf numFmtId="9" fontId="0" fillId="0" borderId="0" applyFont="0" applyFill="0" applyBorder="0" applyAlignment="0" applyProtection="0"/>
    <xf numFmtId="0" fontId="118" fillId="0" borderId="0" applyNumberFormat="0" applyFill="0" applyBorder="0" applyAlignment="0" applyProtection="0"/>
    <xf numFmtId="0" fontId="119" fillId="0" borderId="9" applyNumberFormat="0" applyFill="0" applyAlignment="0" applyProtection="0"/>
    <xf numFmtId="0" fontId="120" fillId="0" borderId="0" applyNumberFormat="0" applyFill="0" applyBorder="0" applyAlignment="0" applyProtection="0"/>
  </cellStyleXfs>
  <cellXfs count="196">
    <xf numFmtId="0" fontId="0" fillId="0" borderId="0" xfId="0" applyFont="1" applyAlignment="1">
      <alignment/>
    </xf>
    <xf numFmtId="0" fontId="121" fillId="33" borderId="10" xfId="0" applyFont="1" applyFill="1" applyBorder="1" applyAlignment="1">
      <alignment horizontal="center" wrapText="1"/>
    </xf>
    <xf numFmtId="0" fontId="121" fillId="33" borderId="11" xfId="0" applyFont="1" applyFill="1" applyBorder="1" applyAlignment="1">
      <alignment horizontal="center" wrapText="1"/>
    </xf>
    <xf numFmtId="0" fontId="0" fillId="0" borderId="0" xfId="0" applyAlignment="1">
      <alignment/>
    </xf>
    <xf numFmtId="0" fontId="121" fillId="33" borderId="10" xfId="0" applyFont="1" applyFill="1" applyBorder="1" applyAlignment="1">
      <alignment horizontal="center" wrapText="1"/>
    </xf>
    <xf numFmtId="0" fontId="0" fillId="0" borderId="0" xfId="0" applyAlignment="1">
      <alignment/>
    </xf>
    <xf numFmtId="0" fontId="121" fillId="33" borderId="10" xfId="0" applyFont="1" applyFill="1" applyBorder="1" applyAlignment="1">
      <alignment horizontal="center" wrapText="1"/>
    </xf>
    <xf numFmtId="0" fontId="121" fillId="33" borderId="11" xfId="0" applyFont="1" applyFill="1" applyBorder="1" applyAlignment="1">
      <alignment horizontal="center" wrapText="1"/>
    </xf>
    <xf numFmtId="0" fontId="0" fillId="0" borderId="0" xfId="0" applyAlignment="1">
      <alignment/>
    </xf>
    <xf numFmtId="0" fontId="0" fillId="0" borderId="0" xfId="0" applyAlignment="1">
      <alignment/>
    </xf>
    <xf numFmtId="0" fontId="121" fillId="33" borderId="10" xfId="0" applyFont="1" applyFill="1" applyBorder="1" applyAlignment="1">
      <alignment horizontal="center" wrapText="1"/>
    </xf>
    <xf numFmtId="9" fontId="121" fillId="33" borderId="11" xfId="0" applyNumberFormat="1" applyFont="1" applyFill="1" applyBorder="1" applyAlignment="1">
      <alignment horizontal="center" wrapText="1"/>
    </xf>
    <xf numFmtId="0" fontId="121" fillId="33" borderId="11" xfId="0" applyFont="1" applyFill="1" applyBorder="1" applyAlignment="1">
      <alignment horizontal="center" wrapText="1"/>
    </xf>
    <xf numFmtId="9" fontId="122" fillId="0" borderId="12" xfId="0" applyNumberFormat="1" applyFont="1" applyBorder="1" applyAlignment="1">
      <alignment horizontal="center" wrapText="1"/>
    </xf>
    <xf numFmtId="4" fontId="121" fillId="33" borderId="11" xfId="0" applyNumberFormat="1" applyFont="1" applyFill="1" applyBorder="1" applyAlignment="1">
      <alignment horizontal="center" wrapText="1"/>
    </xf>
    <xf numFmtId="4" fontId="121" fillId="33" borderId="10" xfId="0" applyNumberFormat="1" applyFont="1" applyFill="1" applyBorder="1" applyAlignment="1">
      <alignment horizontal="center" wrapText="1"/>
    </xf>
    <xf numFmtId="4" fontId="121" fillId="33" borderId="11" xfId="0" applyNumberFormat="1" applyFont="1" applyFill="1" applyBorder="1" applyAlignment="1">
      <alignment horizontal="right" wrapText="1"/>
    </xf>
    <xf numFmtId="0" fontId="0" fillId="0" borderId="0" xfId="0" applyAlignment="1">
      <alignment wrapText="1"/>
    </xf>
    <xf numFmtId="0" fontId="0" fillId="0" borderId="0" xfId="0" applyFill="1" applyAlignment="1">
      <alignment/>
    </xf>
    <xf numFmtId="0" fontId="121" fillId="0" borderId="13" xfId="0" applyFont="1" applyBorder="1" applyAlignment="1">
      <alignment horizontal="center" wrapText="1"/>
    </xf>
    <xf numFmtId="0" fontId="121" fillId="34" borderId="13" xfId="0" applyFont="1" applyFill="1" applyBorder="1" applyAlignment="1">
      <alignment horizontal="center" wrapText="1"/>
    </xf>
    <xf numFmtId="0" fontId="121" fillId="0" borderId="0" xfId="0" applyFont="1" applyFill="1" applyBorder="1" applyAlignment="1">
      <alignment horizontal="center" wrapText="1"/>
    </xf>
    <xf numFmtId="9" fontId="121" fillId="0" borderId="0" xfId="0" applyNumberFormat="1" applyFont="1" applyFill="1" applyBorder="1" applyAlignment="1">
      <alignment horizontal="center" wrapText="1"/>
    </xf>
    <xf numFmtId="0" fontId="123" fillId="0" borderId="0" xfId="0" applyFont="1" applyBorder="1" applyAlignment="1">
      <alignment vertical="center"/>
    </xf>
    <xf numFmtId="0" fontId="0" fillId="0" borderId="0" xfId="0" applyBorder="1" applyAlignment="1">
      <alignment/>
    </xf>
    <xf numFmtId="0" fontId="121" fillId="0" borderId="13" xfId="0" applyFont="1" applyBorder="1" applyAlignment="1">
      <alignment horizontal="center" vertical="center" wrapText="1"/>
    </xf>
    <xf numFmtId="0" fontId="121" fillId="0" borderId="12" xfId="0" applyFont="1" applyBorder="1" applyAlignment="1">
      <alignment horizontal="center" vertical="center" wrapText="1"/>
    </xf>
    <xf numFmtId="0" fontId="121" fillId="30" borderId="13" xfId="0" applyFont="1" applyFill="1" applyBorder="1" applyAlignment="1">
      <alignment horizontal="center" vertical="center" wrapText="1"/>
    </xf>
    <xf numFmtId="0" fontId="121" fillId="30" borderId="12" xfId="0" applyFont="1" applyFill="1" applyBorder="1" applyAlignment="1">
      <alignment horizontal="center" vertical="center" wrapText="1"/>
    </xf>
    <xf numFmtId="0" fontId="124" fillId="0" borderId="0" xfId="0" applyFont="1" applyAlignment="1">
      <alignment/>
    </xf>
    <xf numFmtId="0" fontId="120" fillId="0" borderId="0" xfId="0" applyFont="1" applyAlignment="1">
      <alignment/>
    </xf>
    <xf numFmtId="0" fontId="124" fillId="0" borderId="0" xfId="0" applyFont="1" applyAlignment="1">
      <alignment/>
    </xf>
    <xf numFmtId="0" fontId="125" fillId="35" borderId="14" xfId="0" applyFont="1" applyFill="1" applyBorder="1" applyAlignment="1">
      <alignment horizontal="center" wrapText="1"/>
    </xf>
    <xf numFmtId="0" fontId="126" fillId="36" borderId="14" xfId="0" applyFont="1" applyFill="1" applyBorder="1" applyAlignment="1">
      <alignment horizontal="center" wrapText="1"/>
    </xf>
    <xf numFmtId="0" fontId="125" fillId="35" borderId="15" xfId="0" applyFont="1" applyFill="1" applyBorder="1" applyAlignment="1">
      <alignment horizontal="center" wrapText="1"/>
    </xf>
    <xf numFmtId="0" fontId="126" fillId="36" borderId="16" xfId="0" applyFont="1" applyFill="1" applyBorder="1" applyAlignment="1">
      <alignment horizontal="center" wrapText="1"/>
    </xf>
    <xf numFmtId="10" fontId="127" fillId="33" borderId="11" xfId="0" applyNumberFormat="1" applyFont="1" applyFill="1" applyBorder="1" applyAlignment="1">
      <alignment horizontal="center" wrapText="1"/>
    </xf>
    <xf numFmtId="9" fontId="127" fillId="33" borderId="11" xfId="0" applyNumberFormat="1" applyFont="1" applyFill="1" applyBorder="1" applyAlignment="1">
      <alignment horizontal="center" wrapText="1"/>
    </xf>
    <xf numFmtId="0" fontId="0" fillId="0" borderId="0" xfId="0" applyAlignment="1">
      <alignment/>
    </xf>
    <xf numFmtId="0" fontId="0" fillId="0" borderId="0" xfId="0" applyFill="1" applyAlignment="1">
      <alignment/>
    </xf>
    <xf numFmtId="0" fontId="128" fillId="0" borderId="0" xfId="0" applyFont="1" applyBorder="1" applyAlignment="1">
      <alignment vertical="center"/>
    </xf>
    <xf numFmtId="0" fontId="0" fillId="0" borderId="17" xfId="0" applyFill="1" applyBorder="1" applyAlignment="1">
      <alignment/>
    </xf>
    <xf numFmtId="0" fontId="129" fillId="0" borderId="18" xfId="0" applyFont="1" applyBorder="1" applyAlignment="1">
      <alignment horizontal="center" vertical="center" wrapText="1"/>
    </xf>
    <xf numFmtId="0" fontId="0" fillId="0" borderId="19" xfId="0" applyBorder="1" applyAlignment="1">
      <alignment/>
    </xf>
    <xf numFmtId="0" fontId="130" fillId="35" borderId="10" xfId="0" applyFont="1" applyFill="1" applyBorder="1" applyAlignment="1">
      <alignment horizontal="center" vertical="center" wrapText="1"/>
    </xf>
    <xf numFmtId="0" fontId="130" fillId="35" borderId="11" xfId="0" applyFont="1" applyFill="1" applyBorder="1" applyAlignment="1">
      <alignment horizontal="center" vertical="center" wrapText="1"/>
    </xf>
    <xf numFmtId="0" fontId="130" fillId="35" borderId="11" xfId="0" applyFont="1" applyFill="1" applyBorder="1" applyAlignment="1">
      <alignment horizontal="center" wrapText="1"/>
    </xf>
    <xf numFmtId="4" fontId="121" fillId="0" borderId="13" xfId="0" applyNumberFormat="1" applyFont="1" applyBorder="1" applyAlignment="1">
      <alignment horizontal="center" vertical="center" wrapText="1"/>
    </xf>
    <xf numFmtId="4" fontId="121" fillId="30" borderId="13" xfId="0" applyNumberFormat="1" applyFont="1" applyFill="1" applyBorder="1" applyAlignment="1">
      <alignment horizontal="center" vertical="center" wrapText="1"/>
    </xf>
    <xf numFmtId="0" fontId="131" fillId="0" borderId="13" xfId="0" applyFont="1" applyBorder="1" applyAlignment="1">
      <alignment horizontal="center" wrapText="1"/>
    </xf>
    <xf numFmtId="0" fontId="131" fillId="0" borderId="12" xfId="0" applyFont="1" applyBorder="1" applyAlignment="1">
      <alignment horizontal="center" wrapText="1"/>
    </xf>
    <xf numFmtId="0" fontId="132" fillId="35" borderId="13" xfId="0" applyFont="1" applyFill="1" applyBorder="1" applyAlignment="1">
      <alignment horizontal="center" vertical="center" wrapText="1"/>
    </xf>
    <xf numFmtId="0" fontId="132" fillId="35" borderId="12" xfId="0" applyFont="1" applyFill="1" applyBorder="1" applyAlignment="1">
      <alignment horizontal="center" vertical="center" wrapText="1"/>
    </xf>
    <xf numFmtId="0" fontId="133" fillId="0" borderId="13" xfId="0" applyFont="1" applyBorder="1" applyAlignment="1">
      <alignment horizontal="center" wrapText="1"/>
    </xf>
    <xf numFmtId="4" fontId="121" fillId="0" borderId="20" xfId="0" applyNumberFormat="1" applyFont="1" applyBorder="1" applyAlignment="1">
      <alignment horizontal="center" wrapText="1"/>
    </xf>
    <xf numFmtId="4" fontId="121" fillId="34" borderId="20" xfId="0" applyNumberFormat="1" applyFont="1" applyFill="1" applyBorder="1" applyAlignment="1">
      <alignment horizontal="center" wrapText="1"/>
    </xf>
    <xf numFmtId="4" fontId="121" fillId="0" borderId="13" xfId="0" applyNumberFormat="1" applyFont="1" applyBorder="1" applyAlignment="1">
      <alignment horizontal="center" wrapText="1"/>
    </xf>
    <xf numFmtId="0" fontId="134" fillId="0" borderId="18" xfId="0" applyFont="1" applyFill="1" applyBorder="1" applyAlignment="1">
      <alignment horizontal="center" vertical="center" wrapText="1"/>
    </xf>
    <xf numFmtId="0" fontId="129" fillId="0" borderId="18" xfId="0" applyFont="1" applyFill="1" applyBorder="1" applyAlignment="1">
      <alignment horizontal="center" vertical="center" wrapText="1"/>
    </xf>
    <xf numFmtId="4" fontId="0" fillId="0" borderId="0" xfId="0" applyNumberFormat="1" applyAlignment="1">
      <alignment/>
    </xf>
    <xf numFmtId="0" fontId="113" fillId="0" borderId="18" xfId="53" applyBorder="1" applyAlignment="1" applyProtection="1" quotePrefix="1">
      <alignment horizontal="center" vertical="center" wrapText="1"/>
      <protection/>
    </xf>
    <xf numFmtId="0" fontId="135" fillId="0" borderId="18" xfId="53" applyFont="1" applyBorder="1" applyAlignment="1" applyProtection="1">
      <alignment horizontal="center" vertical="center" wrapText="1"/>
      <protection/>
    </xf>
    <xf numFmtId="0" fontId="135" fillId="0" borderId="18" xfId="53" applyFont="1" applyFill="1" applyBorder="1" applyAlignment="1" applyProtection="1">
      <alignment horizontal="center" vertical="center" wrapText="1"/>
      <protection/>
    </xf>
    <xf numFmtId="0" fontId="124" fillId="0" borderId="0" xfId="0" applyFont="1" applyAlignment="1">
      <alignment horizontal="center" vertical="center"/>
    </xf>
    <xf numFmtId="0" fontId="134" fillId="37" borderId="18" xfId="0" applyFont="1" applyFill="1" applyBorder="1" applyAlignment="1">
      <alignment horizontal="center" vertical="center" textRotation="90" wrapText="1"/>
    </xf>
    <xf numFmtId="0" fontId="136" fillId="37" borderId="18" xfId="0" applyFont="1" applyFill="1" applyBorder="1" applyAlignment="1">
      <alignment horizontal="center" vertical="center" textRotation="90" wrapText="1"/>
    </xf>
    <xf numFmtId="0" fontId="137" fillId="0" borderId="18" xfId="0" applyFont="1" applyBorder="1" applyAlignment="1">
      <alignment horizontal="center" vertical="center" wrapText="1"/>
    </xf>
    <xf numFmtId="0" fontId="138" fillId="38" borderId="21" xfId="0" applyFont="1" applyFill="1" applyBorder="1" applyAlignment="1">
      <alignment horizontal="center" vertical="center" wrapText="1"/>
    </xf>
    <xf numFmtId="0" fontId="120" fillId="0" borderId="22" xfId="53" applyFont="1" applyBorder="1" applyAlignment="1" applyProtection="1">
      <alignment horizontal="center" vertical="center" wrapText="1"/>
      <protection/>
    </xf>
    <xf numFmtId="4" fontId="139" fillId="0" borderId="18" xfId="0" applyNumberFormat="1" applyFont="1" applyBorder="1" applyAlignment="1">
      <alignment vertical="center"/>
    </xf>
    <xf numFmtId="4" fontId="0" fillId="0" borderId="18" xfId="0" applyNumberFormat="1" applyBorder="1" applyAlignment="1">
      <alignment vertical="center"/>
    </xf>
    <xf numFmtId="4" fontId="140" fillId="0" borderId="18" xfId="0" applyNumberFormat="1" applyFont="1" applyFill="1" applyBorder="1" applyAlignment="1">
      <alignment vertical="center"/>
    </xf>
    <xf numFmtId="4" fontId="141" fillId="0" borderId="18" xfId="0" applyNumberFormat="1" applyFont="1" applyFill="1" applyBorder="1" applyAlignment="1">
      <alignment vertical="center"/>
    </xf>
    <xf numFmtId="4" fontId="140" fillId="0" borderId="18" xfId="0" applyNumberFormat="1" applyFont="1" applyFill="1" applyBorder="1" applyAlignment="1">
      <alignment horizontal="right" vertical="center"/>
    </xf>
    <xf numFmtId="4" fontId="142" fillId="0" borderId="23" xfId="0" applyNumberFormat="1" applyFont="1" applyBorder="1" applyAlignment="1">
      <alignment vertical="center"/>
    </xf>
    <xf numFmtId="10" fontId="143" fillId="0" borderId="24" xfId="0" applyNumberFormat="1" applyFont="1" applyBorder="1" applyAlignment="1">
      <alignment vertical="center"/>
    </xf>
    <xf numFmtId="4" fontId="0" fillId="0" borderId="18" xfId="0" applyNumberFormat="1" applyFill="1" applyBorder="1" applyAlignment="1">
      <alignment vertical="center"/>
    </xf>
    <xf numFmtId="4" fontId="139" fillId="0" borderId="18" xfId="0" applyNumberFormat="1" applyFont="1" applyFill="1" applyBorder="1" applyAlignment="1">
      <alignment vertical="center"/>
    </xf>
    <xf numFmtId="4" fontId="142" fillId="0" borderId="23" xfId="0" applyNumberFormat="1" applyFont="1" applyFill="1" applyBorder="1" applyAlignment="1">
      <alignment vertical="center"/>
    </xf>
    <xf numFmtId="10" fontId="143" fillId="0" borderId="24" xfId="0" applyNumberFormat="1" applyFont="1" applyFill="1" applyBorder="1" applyAlignment="1">
      <alignment vertical="center"/>
    </xf>
    <xf numFmtId="4" fontId="25" fillId="39" borderId="18" xfId="0" applyNumberFormat="1" applyFont="1" applyFill="1" applyBorder="1" applyAlignment="1">
      <alignment vertical="center"/>
    </xf>
    <xf numFmtId="0" fontId="12" fillId="37" borderId="18" xfId="0" applyFont="1" applyFill="1" applyBorder="1" applyAlignment="1">
      <alignment horizontal="center" vertical="center" textRotation="90" wrapText="1"/>
    </xf>
    <xf numFmtId="4" fontId="27" fillId="0" borderId="18" xfId="0" applyNumberFormat="1" applyFont="1" applyFill="1" applyBorder="1" applyAlignment="1">
      <alignment vertical="center"/>
    </xf>
    <xf numFmtId="4" fontId="144" fillId="0" borderId="23" xfId="0" applyNumberFormat="1" applyFont="1" applyBorder="1" applyAlignment="1">
      <alignment vertical="center"/>
    </xf>
    <xf numFmtId="0" fontId="135" fillId="0" borderId="25" xfId="53" applyFont="1" applyFill="1" applyBorder="1" applyAlignment="1" applyProtection="1">
      <alignment horizontal="center" vertical="center" wrapText="1"/>
      <protection/>
    </xf>
    <xf numFmtId="0" fontId="129" fillId="0" borderId="22" xfId="0" applyFont="1" applyBorder="1" applyAlignment="1">
      <alignment horizontal="center" vertical="center" wrapText="1"/>
    </xf>
    <xf numFmtId="0" fontId="134" fillId="37" borderId="22" xfId="0" applyFont="1" applyFill="1" applyBorder="1" applyAlignment="1">
      <alignment horizontal="center" vertical="center" textRotation="90" wrapText="1"/>
    </xf>
    <xf numFmtId="0" fontId="134" fillId="0" borderId="22" xfId="0" applyFont="1" applyFill="1" applyBorder="1" applyAlignment="1">
      <alignment horizontal="center" vertical="center" wrapText="1"/>
    </xf>
    <xf numFmtId="0" fontId="129" fillId="0" borderId="22" xfId="0" applyFont="1" applyFill="1" applyBorder="1" applyAlignment="1">
      <alignment horizontal="center" vertical="center" wrapText="1"/>
    </xf>
    <xf numFmtId="4" fontId="139" fillId="0" borderId="26" xfId="0" applyNumberFormat="1" applyFont="1" applyBorder="1" applyAlignment="1">
      <alignment vertical="center"/>
    </xf>
    <xf numFmtId="4" fontId="0" fillId="0" borderId="26" xfId="0" applyNumberFormat="1" applyBorder="1" applyAlignment="1">
      <alignment vertical="center"/>
    </xf>
    <xf numFmtId="4" fontId="140" fillId="0" borderId="26" xfId="0" applyNumberFormat="1" applyFont="1" applyFill="1" applyBorder="1" applyAlignment="1">
      <alignment vertical="center"/>
    </xf>
    <xf numFmtId="4" fontId="141" fillId="0" borderId="26" xfId="0" applyNumberFormat="1" applyFont="1" applyFill="1" applyBorder="1" applyAlignment="1">
      <alignment vertical="center"/>
    </xf>
    <xf numFmtId="0" fontId="124" fillId="0" borderId="24" xfId="0" applyFont="1" applyBorder="1" applyAlignment="1">
      <alignment horizontal="center" vertical="center"/>
    </xf>
    <xf numFmtId="0" fontId="135" fillId="0" borderId="24" xfId="53" applyFont="1" applyBorder="1" applyAlignment="1" applyProtection="1">
      <alignment horizontal="center" vertical="center" wrapText="1"/>
      <protection/>
    </xf>
    <xf numFmtId="0" fontId="135" fillId="0" borderId="24" xfId="53" applyFont="1" applyFill="1" applyBorder="1" applyAlignment="1" applyProtection="1">
      <alignment horizontal="center" vertical="center" wrapText="1"/>
      <protection/>
    </xf>
    <xf numFmtId="4" fontId="0" fillId="0" borderId="26" xfId="0" applyNumberFormat="1" applyFill="1" applyBorder="1" applyAlignment="1">
      <alignment vertical="center"/>
    </xf>
    <xf numFmtId="0" fontId="9" fillId="0" borderId="22" xfId="0" applyFont="1" applyBorder="1" applyAlignment="1">
      <alignment horizontal="center" vertical="center" wrapText="1"/>
    </xf>
    <xf numFmtId="0" fontId="0" fillId="0" borderId="0" xfId="0" applyAlignment="1">
      <alignment vertical="center"/>
    </xf>
    <xf numFmtId="0" fontId="145" fillId="0" borderId="0" xfId="0" applyFont="1" applyBorder="1" applyAlignment="1">
      <alignment horizontal="left" vertical="top" wrapText="1"/>
    </xf>
    <xf numFmtId="0" fontId="145" fillId="0" borderId="0" xfId="0" applyFont="1" applyBorder="1" applyAlignment="1">
      <alignment horizontal="left" vertical="top"/>
    </xf>
    <xf numFmtId="0" fontId="0" fillId="0" borderId="0" xfId="0" applyAlignment="1">
      <alignment horizontal="left"/>
    </xf>
    <xf numFmtId="0" fontId="146" fillId="0" borderId="0" xfId="0" applyFont="1" applyAlignment="1">
      <alignment horizontal="left" wrapText="1"/>
    </xf>
    <xf numFmtId="0" fontId="147" fillId="0" borderId="0" xfId="0" applyFont="1" applyAlignment="1">
      <alignment horizontal="left" wrapText="1"/>
    </xf>
    <xf numFmtId="0" fontId="148" fillId="0" borderId="0" xfId="0" applyFont="1" applyAlignment="1">
      <alignment horizontal="left" wrapText="1"/>
    </xf>
    <xf numFmtId="0" fontId="149" fillId="35" borderId="27" xfId="0" applyFont="1" applyFill="1" applyBorder="1" applyAlignment="1">
      <alignment horizontal="center" vertical="center" wrapText="1"/>
    </xf>
    <xf numFmtId="0" fontId="149" fillId="35" borderId="28" xfId="0" applyFont="1" applyFill="1" applyBorder="1" applyAlignment="1">
      <alignment horizontal="center" vertical="center" wrapText="1"/>
    </xf>
    <xf numFmtId="0" fontId="149" fillId="35" borderId="12" xfId="0" applyFont="1" applyFill="1" applyBorder="1" applyAlignment="1">
      <alignment horizontal="center" vertical="center" wrapText="1"/>
    </xf>
    <xf numFmtId="0" fontId="131" fillId="0" borderId="29" xfId="0" applyFont="1" applyBorder="1" applyAlignment="1">
      <alignment horizontal="center" wrapText="1"/>
    </xf>
    <xf numFmtId="0" fontId="131" fillId="0" borderId="30" xfId="0" applyFont="1" applyBorder="1" applyAlignment="1">
      <alignment horizontal="center" wrapText="1"/>
    </xf>
    <xf numFmtId="0" fontId="131" fillId="0" borderId="31" xfId="0" applyFont="1" applyBorder="1" applyAlignment="1">
      <alignment horizontal="center" wrapText="1"/>
    </xf>
    <xf numFmtId="0" fontId="0" fillId="13" borderId="0" xfId="0" applyFill="1" applyAlignment="1">
      <alignment/>
    </xf>
    <xf numFmtId="0" fontId="150" fillId="40" borderId="32" xfId="0" applyFont="1" applyFill="1" applyBorder="1" applyAlignment="1">
      <alignment horizontal="center" vertical="center" wrapText="1"/>
    </xf>
    <xf numFmtId="0" fontId="151" fillId="40" borderId="32" xfId="0" applyFont="1" applyFill="1" applyBorder="1" applyAlignment="1">
      <alignment horizontal="center" vertical="top" wrapText="1"/>
    </xf>
    <xf numFmtId="0" fontId="119" fillId="13" borderId="0" xfId="0" applyFont="1" applyFill="1" applyAlignment="1">
      <alignment/>
    </xf>
    <xf numFmtId="0" fontId="133" fillId="40" borderId="33" xfId="0" applyFont="1" applyFill="1" applyBorder="1" applyAlignment="1">
      <alignment horizontal="right" vertical="top" wrapText="1"/>
    </xf>
    <xf numFmtId="4" fontId="133" fillId="40" borderId="33" xfId="0" applyNumberFormat="1" applyFont="1" applyFill="1" applyBorder="1" applyAlignment="1">
      <alignment vertical="top" wrapText="1"/>
    </xf>
    <xf numFmtId="10" fontId="133" fillId="40" borderId="33" xfId="0" applyNumberFormat="1" applyFont="1" applyFill="1" applyBorder="1" applyAlignment="1">
      <alignment horizontal="right" vertical="top" wrapText="1"/>
    </xf>
    <xf numFmtId="4" fontId="133" fillId="40" borderId="24" xfId="0" applyNumberFormat="1" applyFont="1" applyFill="1" applyBorder="1" applyAlignment="1">
      <alignment horizontal="right" vertical="top" wrapText="1"/>
    </xf>
    <xf numFmtId="4" fontId="133" fillId="40" borderId="24" xfId="0" applyNumberFormat="1" applyFont="1" applyFill="1" applyBorder="1" applyAlignment="1">
      <alignment vertical="top" wrapText="1"/>
    </xf>
    <xf numFmtId="10" fontId="133" fillId="40" borderId="24" xfId="0" applyNumberFormat="1" applyFont="1" applyFill="1" applyBorder="1" applyAlignment="1">
      <alignment horizontal="right" vertical="top" wrapText="1"/>
    </xf>
    <xf numFmtId="0" fontId="133" fillId="40" borderId="24" xfId="0" applyFont="1" applyFill="1" applyBorder="1" applyAlignment="1">
      <alignment horizontal="right" vertical="top" wrapText="1"/>
    </xf>
    <xf numFmtId="0" fontId="152" fillId="40" borderId="24" xfId="0" applyFont="1" applyFill="1" applyBorder="1" applyAlignment="1">
      <alignment vertical="top" wrapText="1"/>
    </xf>
    <xf numFmtId="0" fontId="153" fillId="0" borderId="0" xfId="0" applyFont="1" applyAlignment="1">
      <alignment/>
    </xf>
    <xf numFmtId="0" fontId="0" fillId="0" borderId="0" xfId="0" applyFont="1" applyAlignment="1">
      <alignment/>
    </xf>
    <xf numFmtId="0" fontId="0" fillId="0" borderId="0" xfId="0" applyFont="1" applyAlignment="1">
      <alignment horizontal="right"/>
    </xf>
    <xf numFmtId="0" fontId="0" fillId="0" borderId="0" xfId="0" applyFont="1" applyAlignment="1">
      <alignment/>
    </xf>
    <xf numFmtId="0" fontId="0" fillId="0" borderId="0" xfId="0" applyAlignment="1">
      <alignment/>
    </xf>
    <xf numFmtId="0" fontId="0" fillId="0" borderId="0" xfId="0" applyAlignment="1">
      <alignment horizontal="right"/>
    </xf>
    <xf numFmtId="0" fontId="151" fillId="40" borderId="32" xfId="0" applyFont="1" applyFill="1" applyBorder="1" applyAlignment="1">
      <alignment horizontal="center" vertical="center" wrapText="1"/>
    </xf>
    <xf numFmtId="0" fontId="135" fillId="0" borderId="25" xfId="53" applyFont="1" applyBorder="1" applyAlignment="1" applyProtection="1">
      <alignment horizontal="center" vertical="center" wrapText="1"/>
      <protection/>
    </xf>
    <xf numFmtId="0" fontId="0" fillId="0" borderId="0" xfId="0" applyFill="1" applyBorder="1" applyAlignment="1">
      <alignment/>
    </xf>
    <xf numFmtId="4" fontId="121" fillId="33" borderId="34" xfId="0" applyNumberFormat="1" applyFont="1" applyFill="1" applyBorder="1" applyAlignment="1">
      <alignment horizontal="center" wrapText="1"/>
    </xf>
    <xf numFmtId="0" fontId="0" fillId="0" borderId="35" xfId="0" applyBorder="1" applyAlignment="1">
      <alignment/>
    </xf>
    <xf numFmtId="0" fontId="154" fillId="0" borderId="0" xfId="0" applyFont="1" applyBorder="1" applyAlignment="1">
      <alignment/>
    </xf>
    <xf numFmtId="9" fontId="155" fillId="0" borderId="18" xfId="0" applyNumberFormat="1" applyFont="1" applyBorder="1" applyAlignment="1">
      <alignment horizontal="center"/>
    </xf>
    <xf numFmtId="10" fontId="155" fillId="0" borderId="18" xfId="0" applyNumberFormat="1" applyFont="1" applyBorder="1" applyAlignment="1">
      <alignment horizontal="center"/>
    </xf>
    <xf numFmtId="0" fontId="106" fillId="35" borderId="36" xfId="0" applyFont="1" applyFill="1" applyBorder="1" applyAlignment="1">
      <alignment horizontal="center"/>
    </xf>
    <xf numFmtId="0" fontId="106" fillId="35" borderId="37" xfId="0" applyFont="1" applyFill="1" applyBorder="1" applyAlignment="1">
      <alignment horizontal="center"/>
    </xf>
    <xf numFmtId="0" fontId="156" fillId="0" borderId="0" xfId="0" applyFont="1" applyAlignment="1">
      <alignment/>
    </xf>
    <xf numFmtId="0" fontId="157" fillId="0" borderId="38" xfId="0" applyFont="1" applyBorder="1" applyAlignment="1">
      <alignment horizontal="center" vertical="center"/>
    </xf>
    <xf numFmtId="0" fontId="157" fillId="0" borderId="39" xfId="0" applyFont="1" applyBorder="1" applyAlignment="1">
      <alignment horizontal="center" vertical="center"/>
    </xf>
    <xf numFmtId="0" fontId="158" fillId="0" borderId="38" xfId="0" applyFont="1" applyBorder="1" applyAlignment="1">
      <alignment horizontal="center" vertical="center"/>
    </xf>
    <xf numFmtId="0" fontId="158" fillId="0" borderId="40" xfId="0" applyFont="1" applyBorder="1" applyAlignment="1">
      <alignment horizontal="center" vertical="center"/>
    </xf>
    <xf numFmtId="0" fontId="149" fillId="35" borderId="41" xfId="0" applyFont="1" applyFill="1" applyBorder="1" applyAlignment="1">
      <alignment horizontal="center" vertical="center" wrapText="1"/>
    </xf>
    <xf numFmtId="0" fontId="149" fillId="35" borderId="42" xfId="0" applyFont="1" applyFill="1" applyBorder="1" applyAlignment="1">
      <alignment horizontal="center" vertical="center" wrapText="1"/>
    </xf>
    <xf numFmtId="0" fontId="149" fillId="35" borderId="43" xfId="0" applyFont="1" applyFill="1" applyBorder="1" applyAlignment="1">
      <alignment horizontal="center" vertical="center" wrapText="1"/>
    </xf>
    <xf numFmtId="0" fontId="154" fillId="0" borderId="38" xfId="0" applyFont="1" applyBorder="1" applyAlignment="1">
      <alignment horizontal="center" wrapText="1"/>
    </xf>
    <xf numFmtId="0" fontId="154" fillId="0" borderId="39" xfId="0" applyFont="1" applyBorder="1" applyAlignment="1">
      <alignment horizontal="center" wrapText="1"/>
    </xf>
    <xf numFmtId="0" fontId="124" fillId="0" borderId="0" xfId="0" applyFont="1" applyFill="1" applyBorder="1" applyAlignment="1">
      <alignment horizontal="left" wrapText="1"/>
    </xf>
    <xf numFmtId="0" fontId="131" fillId="0" borderId="44" xfId="0" applyFont="1" applyBorder="1" applyAlignment="1">
      <alignment horizontal="center" wrapText="1"/>
    </xf>
    <xf numFmtId="0" fontId="131" fillId="0" borderId="13" xfId="0" applyFont="1" applyBorder="1" applyAlignment="1">
      <alignment horizontal="center" wrapText="1"/>
    </xf>
    <xf numFmtId="0" fontId="128" fillId="0" borderId="38" xfId="0" applyFont="1" applyBorder="1" applyAlignment="1">
      <alignment horizontal="center" vertical="center"/>
    </xf>
    <xf numFmtId="0" fontId="128" fillId="0" borderId="45" xfId="0" applyFont="1" applyBorder="1" applyAlignment="1">
      <alignment horizontal="center" vertical="center"/>
    </xf>
    <xf numFmtId="0" fontId="128" fillId="0" borderId="39" xfId="0" applyFont="1" applyBorder="1" applyAlignment="1">
      <alignment horizontal="center" vertical="center"/>
    </xf>
    <xf numFmtId="0" fontId="123" fillId="0" borderId="46" xfId="0" applyFont="1" applyBorder="1" applyAlignment="1">
      <alignment horizontal="center" vertical="center" wrapText="1"/>
    </xf>
    <xf numFmtId="0" fontId="123" fillId="0" borderId="47" xfId="0" applyFont="1" applyBorder="1" applyAlignment="1">
      <alignment horizontal="center" vertical="center" wrapText="1"/>
    </xf>
    <xf numFmtId="0" fontId="123" fillId="0" borderId="48" xfId="0" applyFont="1" applyBorder="1" applyAlignment="1">
      <alignment horizontal="center" vertical="center" wrapText="1"/>
    </xf>
    <xf numFmtId="0" fontId="123" fillId="0" borderId="49" xfId="0" applyFont="1" applyBorder="1" applyAlignment="1">
      <alignment horizontal="center" vertical="center" wrapText="1"/>
    </xf>
    <xf numFmtId="0" fontId="123" fillId="0" borderId="50" xfId="0" applyFont="1" applyBorder="1" applyAlignment="1">
      <alignment horizontal="center" vertical="center" wrapText="1"/>
    </xf>
    <xf numFmtId="0" fontId="123" fillId="0" borderId="51" xfId="0" applyFont="1" applyBorder="1" applyAlignment="1">
      <alignment horizontal="center" vertical="center" wrapText="1"/>
    </xf>
    <xf numFmtId="0" fontId="130" fillId="35" borderId="52" xfId="0" applyFont="1" applyFill="1" applyBorder="1" applyAlignment="1">
      <alignment horizontal="center" vertical="center" wrapText="1"/>
    </xf>
    <xf numFmtId="0" fontId="130" fillId="35" borderId="10" xfId="0" applyFont="1" applyFill="1" applyBorder="1" applyAlignment="1">
      <alignment horizontal="center" vertical="center" wrapText="1"/>
    </xf>
    <xf numFmtId="0" fontId="130" fillId="35" borderId="53" xfId="0" applyFont="1" applyFill="1" applyBorder="1" applyAlignment="1">
      <alignment horizontal="center" vertical="center" wrapText="1"/>
    </xf>
    <xf numFmtId="0" fontId="130" fillId="35" borderId="11" xfId="0" applyFont="1" applyFill="1" applyBorder="1" applyAlignment="1">
      <alignment horizontal="center" vertical="center" wrapText="1"/>
    </xf>
    <xf numFmtId="0" fontId="130" fillId="35" borderId="53" xfId="0" applyFont="1" applyFill="1" applyBorder="1" applyAlignment="1">
      <alignment horizontal="center" wrapText="1"/>
    </xf>
    <xf numFmtId="0" fontId="130" fillId="35" borderId="11" xfId="0" applyFont="1" applyFill="1" applyBorder="1" applyAlignment="1">
      <alignment horizontal="center" wrapText="1"/>
    </xf>
    <xf numFmtId="0" fontId="126" fillId="41" borderId="15" xfId="0" applyFont="1" applyFill="1" applyBorder="1" applyAlignment="1">
      <alignment horizontal="center" vertical="center" wrapText="1"/>
    </xf>
    <xf numFmtId="0" fontId="126" fillId="41" borderId="17" xfId="0" applyFont="1" applyFill="1" applyBorder="1" applyAlignment="1">
      <alignment horizontal="center" vertical="center" wrapText="1"/>
    </xf>
    <xf numFmtId="0" fontId="159" fillId="0" borderId="38" xfId="0" applyFont="1" applyBorder="1" applyAlignment="1">
      <alignment horizontal="center" vertical="center" wrapText="1"/>
    </xf>
    <xf numFmtId="0" fontId="160" fillId="0" borderId="45" xfId="0" applyFont="1" applyBorder="1" applyAlignment="1">
      <alignment vertical="center"/>
    </xf>
    <xf numFmtId="0" fontId="160" fillId="0" borderId="39" xfId="0" applyFont="1" applyBorder="1" applyAlignment="1">
      <alignment vertical="center"/>
    </xf>
    <xf numFmtId="0" fontId="130" fillId="35" borderId="54" xfId="0" applyFont="1" applyFill="1" applyBorder="1" applyAlignment="1">
      <alignment horizontal="center" vertical="center" wrapText="1"/>
    </xf>
    <xf numFmtId="0" fontId="130" fillId="35" borderId="55" xfId="0" applyFont="1" applyFill="1" applyBorder="1" applyAlignment="1">
      <alignment horizontal="center" wrapText="1"/>
    </xf>
    <xf numFmtId="0" fontId="130" fillId="35" borderId="56" xfId="0" applyFont="1" applyFill="1" applyBorder="1" applyAlignment="1">
      <alignment horizontal="center" wrapText="1"/>
    </xf>
    <xf numFmtId="0" fontId="126" fillId="41" borderId="57" xfId="0" applyFont="1" applyFill="1" applyBorder="1" applyAlignment="1">
      <alignment horizontal="center" vertical="center" wrapText="1"/>
    </xf>
    <xf numFmtId="0" fontId="161" fillId="0" borderId="0" xfId="0" applyFont="1" applyBorder="1" applyAlignment="1">
      <alignment horizontal="center" vertical="center" wrapText="1"/>
    </xf>
    <xf numFmtId="0" fontId="162" fillId="0" borderId="58" xfId="0" applyFont="1" applyBorder="1" applyAlignment="1">
      <alignment horizontal="center" vertical="center" wrapText="1"/>
    </xf>
    <xf numFmtId="0" fontId="163" fillId="0" borderId="59" xfId="0" applyFont="1" applyBorder="1" applyAlignment="1">
      <alignment horizontal="left" vertical="center" wrapText="1"/>
    </xf>
    <xf numFmtId="0" fontId="163" fillId="0" borderId="60" xfId="0" applyFont="1" applyBorder="1" applyAlignment="1">
      <alignment horizontal="left" vertical="center" wrapText="1"/>
    </xf>
    <xf numFmtId="0" fontId="163" fillId="0" borderId="61" xfId="0" applyFont="1" applyBorder="1" applyAlignment="1">
      <alignment horizontal="left" vertical="center" wrapText="1"/>
    </xf>
    <xf numFmtId="0" fontId="164" fillId="0" borderId="62" xfId="0" applyFont="1" applyBorder="1" applyAlignment="1">
      <alignment horizontal="center" vertical="center"/>
    </xf>
    <xf numFmtId="0" fontId="145" fillId="0" borderId="59" xfId="0" applyFont="1" applyBorder="1" applyAlignment="1">
      <alignment horizontal="left" vertical="center" wrapText="1"/>
    </xf>
    <xf numFmtId="0" fontId="145" fillId="0" borderId="60" xfId="0" applyFont="1" applyBorder="1" applyAlignment="1">
      <alignment horizontal="left" vertical="center" wrapText="1"/>
    </xf>
    <xf numFmtId="0" fontId="145" fillId="0" borderId="61" xfId="0" applyFont="1" applyBorder="1" applyAlignment="1">
      <alignment horizontal="left" vertical="center" wrapText="1"/>
    </xf>
    <xf numFmtId="0" fontId="145" fillId="0" borderId="24" xfId="0" applyFont="1" applyBorder="1" applyAlignment="1">
      <alignment horizontal="left" vertical="center" wrapText="1"/>
    </xf>
    <xf numFmtId="0" fontId="145" fillId="0" borderId="60" xfId="0" applyFont="1" applyBorder="1" applyAlignment="1">
      <alignment horizontal="left" vertical="center"/>
    </xf>
    <xf numFmtId="0" fontId="145" fillId="0" borderId="61" xfId="0" applyFont="1" applyBorder="1" applyAlignment="1">
      <alignment horizontal="left" vertical="center"/>
    </xf>
    <xf numFmtId="0" fontId="165" fillId="0" borderId="59" xfId="0" applyFont="1" applyBorder="1" applyAlignment="1">
      <alignment horizontal="left" vertical="center" wrapText="1"/>
    </xf>
    <xf numFmtId="0" fontId="165" fillId="0" borderId="60" xfId="0" applyFont="1" applyBorder="1" applyAlignment="1">
      <alignment horizontal="left" vertical="center"/>
    </xf>
    <xf numFmtId="0" fontId="165" fillId="0" borderId="61" xfId="0" applyFont="1" applyBorder="1" applyAlignment="1">
      <alignment horizontal="left" vertical="center"/>
    </xf>
    <xf numFmtId="0" fontId="166" fillId="0" borderId="0" xfId="0" applyFont="1" applyAlignment="1">
      <alignment horizontal="center"/>
    </xf>
    <xf numFmtId="0" fontId="167" fillId="0" borderId="0" xfId="0" applyFont="1" applyAlignment="1">
      <alignment horizontal="center"/>
    </xf>
    <xf numFmtId="0" fontId="168" fillId="0" borderId="29" xfId="0" applyFont="1" applyBorder="1" applyAlignment="1">
      <alignment horizontal="center" vertical="center"/>
    </xf>
    <xf numFmtId="0" fontId="168" fillId="0" borderId="30" xfId="0" applyFont="1" applyBorder="1" applyAlignment="1">
      <alignment horizontal="center" vertical="center"/>
    </xf>
    <xf numFmtId="0" fontId="168" fillId="0" borderId="31"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74"/>
  <sheetViews>
    <sheetView tabSelected="1" zoomScalePageLayoutView="0" workbookViewId="0" topLeftCell="A1">
      <selection activeCell="A1" sqref="A1:E2"/>
    </sheetView>
  </sheetViews>
  <sheetFormatPr defaultColWidth="9.140625" defaultRowHeight="15"/>
  <cols>
    <col min="1" max="2" width="16.8515625" style="0" customWidth="1"/>
    <col min="3" max="5" width="14.421875" style="0" customWidth="1"/>
    <col min="6" max="6" width="1.57421875" style="0" customWidth="1"/>
    <col min="7" max="7" width="17.28125" style="0" customWidth="1"/>
    <col min="8" max="8" width="16.421875" style="0" customWidth="1"/>
    <col min="9" max="9" width="16.8515625" style="0" customWidth="1"/>
    <col min="10" max="10" width="16.421875" style="0" customWidth="1"/>
    <col min="11" max="11" width="12.57421875" style="0" customWidth="1"/>
    <col min="12" max="15" width="9.140625" style="18" customWidth="1"/>
  </cols>
  <sheetData>
    <row r="1" spans="1:12" ht="20.25" customHeight="1" thickBot="1">
      <c r="A1" s="155" t="s">
        <v>182</v>
      </c>
      <c r="B1" s="156"/>
      <c r="C1" s="156"/>
      <c r="D1" s="156"/>
      <c r="E1" s="157"/>
      <c r="G1" s="152" t="s">
        <v>175</v>
      </c>
      <c r="H1" s="153"/>
      <c r="I1" s="153"/>
      <c r="J1" s="154"/>
      <c r="K1" s="40"/>
      <c r="L1" s="39"/>
    </row>
    <row r="2" spans="1:12" ht="15.75" thickBot="1">
      <c r="A2" s="158"/>
      <c r="B2" s="159"/>
      <c r="C2" s="159"/>
      <c r="D2" s="159"/>
      <c r="E2" s="160"/>
      <c r="G2" s="137" t="s">
        <v>176</v>
      </c>
      <c r="H2" s="138" t="s">
        <v>177</v>
      </c>
      <c r="I2" s="138" t="s">
        <v>249</v>
      </c>
      <c r="J2" s="138" t="s">
        <v>250</v>
      </c>
      <c r="K2" s="38"/>
      <c r="L2" s="39"/>
    </row>
    <row r="3" spans="1:12" ht="15.75" thickBot="1">
      <c r="A3" s="161" t="s">
        <v>0</v>
      </c>
      <c r="B3" s="161" t="s">
        <v>1</v>
      </c>
      <c r="C3" s="161" t="s">
        <v>2</v>
      </c>
      <c r="D3" s="165" t="s">
        <v>3</v>
      </c>
      <c r="E3" s="166"/>
      <c r="G3" s="135">
        <v>0.2</v>
      </c>
      <c r="H3" s="136">
        <v>0.0695</v>
      </c>
      <c r="I3" s="135">
        <v>0.07</v>
      </c>
      <c r="J3" s="135">
        <v>0.04</v>
      </c>
      <c r="K3" s="38"/>
      <c r="L3" s="39"/>
    </row>
    <row r="4" spans="1:12" ht="15.75" thickBot="1">
      <c r="A4" s="161"/>
      <c r="B4" s="161"/>
      <c r="C4" s="161"/>
      <c r="D4" s="46" t="s">
        <v>4</v>
      </c>
      <c r="E4" s="46" t="s">
        <v>5</v>
      </c>
      <c r="G4" s="38"/>
      <c r="H4" s="38"/>
      <c r="I4" s="38"/>
      <c r="J4" s="38"/>
      <c r="K4" s="38"/>
      <c r="L4" s="41"/>
    </row>
    <row r="5" spans="1:11" ht="20.25" thickBot="1">
      <c r="A5" s="162"/>
      <c r="B5" s="162"/>
      <c r="C5" s="162"/>
      <c r="D5" s="45" t="s">
        <v>6</v>
      </c>
      <c r="E5" s="45" t="s">
        <v>6</v>
      </c>
      <c r="G5" s="152" t="s">
        <v>83</v>
      </c>
      <c r="H5" s="153"/>
      <c r="I5" s="153"/>
      <c r="J5" s="153"/>
      <c r="K5" s="154"/>
    </row>
    <row r="6" spans="1:11" ht="17.25" customHeight="1" thickBot="1">
      <c r="A6" s="15">
        <v>20000</v>
      </c>
      <c r="B6" s="37">
        <v>0.22</v>
      </c>
      <c r="C6" s="14">
        <v>4400</v>
      </c>
      <c r="D6" s="14">
        <v>20000</v>
      </c>
      <c r="E6" s="14">
        <v>4400</v>
      </c>
      <c r="G6" s="161" t="s">
        <v>0</v>
      </c>
      <c r="H6" s="161" t="s">
        <v>1</v>
      </c>
      <c r="I6" s="161" t="s">
        <v>82</v>
      </c>
      <c r="J6" s="163" t="s">
        <v>3</v>
      </c>
      <c r="K6" s="164"/>
    </row>
    <row r="7" spans="1:11" ht="17.25" customHeight="1" thickBot="1">
      <c r="A7" s="15">
        <v>10000</v>
      </c>
      <c r="B7" s="37">
        <v>0.29</v>
      </c>
      <c r="C7" s="14">
        <v>2900</v>
      </c>
      <c r="D7" s="14">
        <v>30000</v>
      </c>
      <c r="E7" s="14">
        <v>7300</v>
      </c>
      <c r="G7" s="161"/>
      <c r="H7" s="161"/>
      <c r="I7" s="161"/>
      <c r="J7" s="45" t="s">
        <v>4</v>
      </c>
      <c r="K7" s="45" t="s">
        <v>5</v>
      </c>
    </row>
    <row r="8" spans="1:11" ht="17.25" customHeight="1" thickBot="1">
      <c r="A8" s="15">
        <v>10000</v>
      </c>
      <c r="B8" s="37">
        <v>0.37</v>
      </c>
      <c r="C8" s="14">
        <v>3700</v>
      </c>
      <c r="D8" s="14">
        <v>40000</v>
      </c>
      <c r="E8" s="14">
        <v>11000</v>
      </c>
      <c r="G8" s="162"/>
      <c r="H8" s="162"/>
      <c r="I8" s="162"/>
      <c r="J8" s="45" t="s">
        <v>6</v>
      </c>
      <c r="K8" s="45" t="s">
        <v>6</v>
      </c>
    </row>
    <row r="9" spans="1:11" ht="17.25" customHeight="1" thickBot="1">
      <c r="A9" s="1" t="s">
        <v>7</v>
      </c>
      <c r="B9" s="37">
        <v>0.45</v>
      </c>
      <c r="C9" s="2"/>
      <c r="D9" s="2"/>
      <c r="E9" s="2"/>
      <c r="G9" s="15">
        <v>12000</v>
      </c>
      <c r="H9" s="36">
        <v>0</v>
      </c>
      <c r="I9" s="14">
        <v>0</v>
      </c>
      <c r="J9" s="14">
        <v>12000</v>
      </c>
      <c r="K9" s="16">
        <v>0</v>
      </c>
    </row>
    <row r="10" spans="7:11" ht="15.75" thickBot="1">
      <c r="G10" s="15">
        <v>8000</v>
      </c>
      <c r="H10" s="36">
        <v>0.022</v>
      </c>
      <c r="I10" s="14">
        <v>176</v>
      </c>
      <c r="J10" s="14">
        <v>20000</v>
      </c>
      <c r="K10" s="16">
        <v>176</v>
      </c>
    </row>
    <row r="11" spans="7:11" ht="15.75" thickBot="1">
      <c r="G11" s="15">
        <v>10000</v>
      </c>
      <c r="H11" s="36">
        <v>0.05</v>
      </c>
      <c r="I11" s="14">
        <v>500</v>
      </c>
      <c r="J11" s="14">
        <v>30000</v>
      </c>
      <c r="K11" s="16">
        <v>676</v>
      </c>
    </row>
    <row r="12" spans="1:11" ht="16.5" customHeight="1" thickBot="1">
      <c r="A12" s="147" t="s">
        <v>248</v>
      </c>
      <c r="B12" s="148"/>
      <c r="C12" s="134"/>
      <c r="D12" s="134"/>
      <c r="E12" s="134"/>
      <c r="G12" s="15">
        <v>10000</v>
      </c>
      <c r="H12" s="36">
        <v>0.065</v>
      </c>
      <c r="I12" s="14">
        <v>650</v>
      </c>
      <c r="J12" s="14">
        <v>40000</v>
      </c>
      <c r="K12" s="16">
        <v>1326</v>
      </c>
    </row>
    <row r="13" spans="1:11" ht="18.75" customHeight="1" thickBot="1">
      <c r="A13" s="44" t="s">
        <v>8</v>
      </c>
      <c r="B13" s="45" t="s">
        <v>9</v>
      </c>
      <c r="C13" s="3"/>
      <c r="G13" s="15">
        <v>25000</v>
      </c>
      <c r="H13" s="36">
        <v>0.075</v>
      </c>
      <c r="I13" s="14">
        <v>1875</v>
      </c>
      <c r="J13" s="14">
        <v>65000</v>
      </c>
      <c r="K13" s="16">
        <v>3201</v>
      </c>
    </row>
    <row r="14" spans="1:11" ht="17.25" customHeight="1" thickBot="1">
      <c r="A14" s="4" t="s">
        <v>10</v>
      </c>
      <c r="B14" s="14">
        <v>1900</v>
      </c>
      <c r="C14" s="3"/>
      <c r="G14" s="15">
        <v>155000</v>
      </c>
      <c r="H14" s="36">
        <v>0.09</v>
      </c>
      <c r="I14" s="14">
        <v>13950</v>
      </c>
      <c r="J14" s="14">
        <v>220000</v>
      </c>
      <c r="K14" s="16">
        <v>17151</v>
      </c>
    </row>
    <row r="15" spans="1:11" ht="17.25" customHeight="1" thickBot="1">
      <c r="A15" s="4" t="s">
        <v>11</v>
      </c>
      <c r="B15" s="132">
        <v>1950</v>
      </c>
      <c r="C15" s="24"/>
      <c r="G15" s="6" t="s">
        <v>7</v>
      </c>
      <c r="H15" s="36">
        <v>0.1</v>
      </c>
      <c r="I15" s="7"/>
      <c r="J15" s="7"/>
      <c r="K15" s="7"/>
    </row>
    <row r="16" spans="1:3" ht="17.25" customHeight="1" thickBot="1">
      <c r="A16" s="4" t="s">
        <v>12</v>
      </c>
      <c r="B16" s="14">
        <v>2000</v>
      </c>
      <c r="C16" s="133"/>
    </row>
    <row r="17" spans="1:11" ht="17.25" customHeight="1" thickBot="1">
      <c r="A17" s="4" t="s">
        <v>13</v>
      </c>
      <c r="B17" s="14">
        <v>2100</v>
      </c>
      <c r="C17" s="3"/>
      <c r="D17" s="142" t="s">
        <v>246</v>
      </c>
      <c r="E17" s="143"/>
      <c r="G17" s="161" t="s">
        <v>0</v>
      </c>
      <c r="H17" s="161" t="s">
        <v>1</v>
      </c>
      <c r="I17" s="172" t="s">
        <v>82</v>
      </c>
      <c r="J17" s="173" t="s">
        <v>3</v>
      </c>
      <c r="K17" s="174"/>
    </row>
    <row r="18" spans="4:13" ht="15.75" thickBot="1">
      <c r="D18" s="140" t="s">
        <v>180</v>
      </c>
      <c r="E18" s="141"/>
      <c r="F18" s="9"/>
      <c r="G18" s="161"/>
      <c r="H18" s="161"/>
      <c r="I18" s="161"/>
      <c r="J18" s="45" t="s">
        <v>4</v>
      </c>
      <c r="K18" s="45" t="s">
        <v>5</v>
      </c>
      <c r="L18" s="39"/>
      <c r="M18" s="39"/>
    </row>
    <row r="19" spans="2:11" ht="27.75" thickBot="1">
      <c r="B19" s="24"/>
      <c r="C19" s="24"/>
      <c r="D19" s="51" t="s">
        <v>81</v>
      </c>
      <c r="E19" s="52" t="s">
        <v>77</v>
      </c>
      <c r="F19" s="9"/>
      <c r="G19" s="162"/>
      <c r="H19" s="162"/>
      <c r="I19" s="162"/>
      <c r="J19" s="46" t="s">
        <v>6</v>
      </c>
      <c r="K19" s="46" t="s">
        <v>6</v>
      </c>
    </row>
    <row r="20" spans="3:11" ht="21.75" customHeight="1" thickBot="1">
      <c r="C20" s="131"/>
      <c r="D20" s="53" t="s">
        <v>78</v>
      </c>
      <c r="E20" s="13">
        <v>0.15</v>
      </c>
      <c r="G20" s="15">
        <v>12000</v>
      </c>
      <c r="H20" s="11">
        <v>0.15</v>
      </c>
      <c r="I20" s="14">
        <v>1800</v>
      </c>
      <c r="J20" s="14">
        <v>12000</v>
      </c>
      <c r="K20" s="14">
        <v>1800</v>
      </c>
    </row>
    <row r="21" spans="3:11" ht="21.75" customHeight="1" thickBot="1">
      <c r="C21" s="38"/>
      <c r="D21" s="53" t="s">
        <v>79</v>
      </c>
      <c r="E21" s="13">
        <v>0.35</v>
      </c>
      <c r="G21" s="15">
        <v>23000</v>
      </c>
      <c r="H21" s="11">
        <v>0.35</v>
      </c>
      <c r="I21" s="14">
        <v>8050</v>
      </c>
      <c r="J21" s="14">
        <v>35000</v>
      </c>
      <c r="K21" s="14">
        <v>9850</v>
      </c>
    </row>
    <row r="22" spans="3:11" ht="21.75" customHeight="1" thickBot="1">
      <c r="C22" s="38"/>
      <c r="D22" s="53" t="s">
        <v>80</v>
      </c>
      <c r="E22" s="13">
        <v>0.45</v>
      </c>
      <c r="G22" s="10" t="s">
        <v>7</v>
      </c>
      <c r="H22" s="11">
        <v>0.45</v>
      </c>
      <c r="I22" s="12"/>
      <c r="J22" s="12"/>
      <c r="K22" s="12"/>
    </row>
    <row r="23" spans="3:11" ht="19.5" customHeight="1">
      <c r="C23" s="38"/>
      <c r="D23" s="38"/>
      <c r="E23" s="38"/>
      <c r="G23" s="21"/>
      <c r="H23" s="22"/>
      <c r="I23" s="21"/>
      <c r="J23" s="21"/>
      <c r="K23" s="21"/>
    </row>
    <row r="24" spans="3:5" ht="120" customHeight="1" thickBot="1">
      <c r="C24" s="38"/>
      <c r="D24" s="38"/>
      <c r="E24" s="38"/>
    </row>
    <row r="25" spans="1:11" ht="37.5" customHeight="1" thickBot="1">
      <c r="A25" s="144" t="s">
        <v>170</v>
      </c>
      <c r="B25" s="145"/>
      <c r="C25" s="145"/>
      <c r="D25" s="145"/>
      <c r="E25" s="146"/>
      <c r="G25" s="169" t="s">
        <v>247</v>
      </c>
      <c r="H25" s="170"/>
      <c r="I25" s="170"/>
      <c r="J25" s="171"/>
      <c r="K25" s="23"/>
    </row>
    <row r="26" spans="1:11" ht="16.5" customHeight="1" thickBot="1">
      <c r="A26" s="105"/>
      <c r="B26" s="106"/>
      <c r="C26" s="106"/>
      <c r="D26" s="106"/>
      <c r="E26" s="107"/>
      <c r="G26" s="176" t="s">
        <v>179</v>
      </c>
      <c r="H26" s="176"/>
      <c r="I26" s="176"/>
      <c r="J26" s="176"/>
      <c r="K26" s="23"/>
    </row>
    <row r="27" spans="1:10" ht="18" customHeight="1" thickBot="1">
      <c r="A27" s="150" t="s">
        <v>14</v>
      </c>
      <c r="B27" s="108" t="s">
        <v>181</v>
      </c>
      <c r="C27" s="109"/>
      <c r="D27" s="109"/>
      <c r="E27" s="110"/>
      <c r="G27" s="17"/>
      <c r="H27" s="67">
        <v>2015</v>
      </c>
      <c r="I27" s="67">
        <v>2016</v>
      </c>
      <c r="J27" s="17"/>
    </row>
    <row r="28" spans="1:11" ht="18.75" customHeight="1" thickBot="1">
      <c r="A28" s="151"/>
      <c r="B28" s="49" t="s">
        <v>15</v>
      </c>
      <c r="C28" s="50" t="s">
        <v>16</v>
      </c>
      <c r="D28" s="50" t="s">
        <v>17</v>
      </c>
      <c r="E28" s="50" t="s">
        <v>18</v>
      </c>
      <c r="G28" s="175" t="s">
        <v>84</v>
      </c>
      <c r="H28" s="34" t="s">
        <v>85</v>
      </c>
      <c r="I28" s="32" t="s">
        <v>86</v>
      </c>
      <c r="J28" s="167" t="s">
        <v>87</v>
      </c>
      <c r="K28" s="43"/>
    </row>
    <row r="29" spans="1:11" ht="19.5" customHeight="1" thickBot="1">
      <c r="A29" s="47">
        <v>8000</v>
      </c>
      <c r="B29" s="25" t="s">
        <v>19</v>
      </c>
      <c r="C29" s="26" t="s">
        <v>19</v>
      </c>
      <c r="D29" s="26" t="s">
        <v>19</v>
      </c>
      <c r="E29" s="26" t="s">
        <v>19</v>
      </c>
      <c r="G29" s="175"/>
      <c r="H29" s="33" t="s">
        <v>88</v>
      </c>
      <c r="I29" s="35" t="s">
        <v>88</v>
      </c>
      <c r="J29" s="168"/>
      <c r="K29" s="24"/>
    </row>
    <row r="30" spans="1:10" ht="15.75" thickBot="1">
      <c r="A30" s="47">
        <v>8634</v>
      </c>
      <c r="B30" s="25" t="s">
        <v>19</v>
      </c>
      <c r="C30" s="26" t="s">
        <v>19</v>
      </c>
      <c r="D30" s="26" t="s">
        <v>19</v>
      </c>
      <c r="E30" s="26" t="s">
        <v>19</v>
      </c>
      <c r="G30" s="54">
        <v>3100</v>
      </c>
      <c r="H30" s="19" t="s">
        <v>89</v>
      </c>
      <c r="I30" s="19" t="s">
        <v>19</v>
      </c>
      <c r="J30" s="19" t="s">
        <v>90</v>
      </c>
    </row>
    <row r="31" spans="1:10" ht="18.75" customHeight="1" thickBot="1">
      <c r="A31" s="47">
        <v>8635</v>
      </c>
      <c r="B31" s="25" t="s">
        <v>19</v>
      </c>
      <c r="C31" s="26" t="s">
        <v>19</v>
      </c>
      <c r="D31" s="26" t="s">
        <v>19</v>
      </c>
      <c r="E31" s="26" t="s">
        <v>19</v>
      </c>
      <c r="G31" s="54">
        <v>3200</v>
      </c>
      <c r="H31" s="19" t="s">
        <v>91</v>
      </c>
      <c r="I31" s="19" t="s">
        <v>19</v>
      </c>
      <c r="J31" s="19" t="s">
        <v>92</v>
      </c>
    </row>
    <row r="32" spans="1:10" ht="15.75" thickBot="1">
      <c r="A32" s="48">
        <v>8636</v>
      </c>
      <c r="B32" s="27" t="s">
        <v>19</v>
      </c>
      <c r="C32" s="26" t="s">
        <v>19</v>
      </c>
      <c r="D32" s="26" t="s">
        <v>19</v>
      </c>
      <c r="E32" s="26" t="s">
        <v>19</v>
      </c>
      <c r="G32" s="54">
        <v>3300</v>
      </c>
      <c r="H32" s="19" t="s">
        <v>93</v>
      </c>
      <c r="I32" s="19" t="s">
        <v>19</v>
      </c>
      <c r="J32" s="19" t="s">
        <v>94</v>
      </c>
    </row>
    <row r="33" spans="1:10" ht="15.75" thickBot="1">
      <c r="A33" s="47">
        <v>8637</v>
      </c>
      <c r="B33" s="25" t="s">
        <v>20</v>
      </c>
      <c r="C33" s="26" t="s">
        <v>19</v>
      </c>
      <c r="D33" s="26" t="s">
        <v>19</v>
      </c>
      <c r="E33" s="26" t="s">
        <v>19</v>
      </c>
      <c r="G33" s="54">
        <v>3400</v>
      </c>
      <c r="H33" s="19" t="s">
        <v>95</v>
      </c>
      <c r="I33" s="19" t="s">
        <v>19</v>
      </c>
      <c r="J33" s="19" t="s">
        <v>96</v>
      </c>
    </row>
    <row r="34" spans="1:10" ht="17.25" customHeight="1" thickBot="1">
      <c r="A34" s="47">
        <v>8638</v>
      </c>
      <c r="B34" s="25" t="s">
        <v>21</v>
      </c>
      <c r="C34" s="26" t="s">
        <v>19</v>
      </c>
      <c r="D34" s="26" t="s">
        <v>19</v>
      </c>
      <c r="E34" s="26" t="s">
        <v>19</v>
      </c>
      <c r="G34" s="54">
        <v>3500</v>
      </c>
      <c r="H34" s="19" t="s">
        <v>97</v>
      </c>
      <c r="I34" s="19" t="s">
        <v>19</v>
      </c>
      <c r="J34" s="19" t="s">
        <v>98</v>
      </c>
    </row>
    <row r="35" spans="1:10" ht="15.75" thickBot="1">
      <c r="A35" s="47">
        <v>8639</v>
      </c>
      <c r="B35" s="25" t="s">
        <v>22</v>
      </c>
      <c r="C35" s="26" t="s">
        <v>19</v>
      </c>
      <c r="D35" s="26" t="s">
        <v>19</v>
      </c>
      <c r="E35" s="26" t="s">
        <v>19</v>
      </c>
      <c r="G35" s="54">
        <v>3600</v>
      </c>
      <c r="H35" s="19" t="s">
        <v>99</v>
      </c>
      <c r="I35" s="19" t="s">
        <v>19</v>
      </c>
      <c r="J35" s="19" t="s">
        <v>100</v>
      </c>
    </row>
    <row r="36" spans="1:10" ht="15.75" thickBot="1">
      <c r="A36" s="47">
        <v>8860</v>
      </c>
      <c r="B36" s="25" t="s">
        <v>23</v>
      </c>
      <c r="C36" s="26" t="s">
        <v>19</v>
      </c>
      <c r="D36" s="26" t="s">
        <v>19</v>
      </c>
      <c r="E36" s="26" t="s">
        <v>19</v>
      </c>
      <c r="G36" s="54">
        <v>3700</v>
      </c>
      <c r="H36" s="19" t="s">
        <v>101</v>
      </c>
      <c r="I36" s="19" t="s">
        <v>19</v>
      </c>
      <c r="J36" s="19" t="s">
        <v>102</v>
      </c>
    </row>
    <row r="37" spans="1:10" ht="15.75" thickBot="1">
      <c r="A37" s="47">
        <v>8861</v>
      </c>
      <c r="B37" s="25" t="s">
        <v>24</v>
      </c>
      <c r="C37" s="26" t="s">
        <v>19</v>
      </c>
      <c r="D37" s="26" t="s">
        <v>19</v>
      </c>
      <c r="E37" s="26" t="s">
        <v>19</v>
      </c>
      <c r="G37" s="54">
        <v>3800</v>
      </c>
      <c r="H37" s="19" t="s">
        <v>103</v>
      </c>
      <c r="I37" s="19" t="s">
        <v>19</v>
      </c>
      <c r="J37" s="19" t="s">
        <v>104</v>
      </c>
    </row>
    <row r="38" spans="1:10" ht="15.75" thickBot="1">
      <c r="A38" s="47">
        <v>8862</v>
      </c>
      <c r="B38" s="25" t="s">
        <v>25</v>
      </c>
      <c r="C38" s="26" t="s">
        <v>19</v>
      </c>
      <c r="D38" s="26" t="s">
        <v>19</v>
      </c>
      <c r="E38" s="26" t="s">
        <v>19</v>
      </c>
      <c r="G38" s="54">
        <v>3900</v>
      </c>
      <c r="H38" s="19" t="s">
        <v>106</v>
      </c>
      <c r="I38" s="19" t="s">
        <v>19</v>
      </c>
      <c r="J38" s="19" t="s">
        <v>107</v>
      </c>
    </row>
    <row r="39" spans="1:10" ht="15.75" thickBot="1">
      <c r="A39" s="48">
        <v>8863</v>
      </c>
      <c r="B39" s="27" t="s">
        <v>26</v>
      </c>
      <c r="C39" s="28" t="s">
        <v>19</v>
      </c>
      <c r="D39" s="26" t="s">
        <v>19</v>
      </c>
      <c r="E39" s="26" t="s">
        <v>19</v>
      </c>
      <c r="G39" s="54">
        <v>4000</v>
      </c>
      <c r="H39" s="19" t="s">
        <v>73</v>
      </c>
      <c r="I39" s="19" t="s">
        <v>19</v>
      </c>
      <c r="J39" s="19" t="s">
        <v>109</v>
      </c>
    </row>
    <row r="40" spans="1:10" ht="15.75" thickBot="1">
      <c r="A40" s="47">
        <v>8864</v>
      </c>
      <c r="B40" s="25" t="s">
        <v>27</v>
      </c>
      <c r="C40" s="26" t="s">
        <v>28</v>
      </c>
      <c r="D40" s="26" t="s">
        <v>19</v>
      </c>
      <c r="E40" s="26" t="s">
        <v>19</v>
      </c>
      <c r="G40" s="54">
        <v>5000</v>
      </c>
      <c r="H40" s="19" t="s">
        <v>110</v>
      </c>
      <c r="I40" s="19" t="s">
        <v>19</v>
      </c>
      <c r="J40" s="19" t="s">
        <v>111</v>
      </c>
    </row>
    <row r="41" spans="1:10" ht="15.75" thickBot="1">
      <c r="A41" s="47">
        <v>8865</v>
      </c>
      <c r="B41" s="25" t="s">
        <v>29</v>
      </c>
      <c r="C41" s="26" t="s">
        <v>30</v>
      </c>
      <c r="D41" s="26" t="s">
        <v>19</v>
      </c>
      <c r="E41" s="26" t="s">
        <v>19</v>
      </c>
      <c r="G41" s="54">
        <v>6000</v>
      </c>
      <c r="H41" s="19" t="s">
        <v>112</v>
      </c>
      <c r="I41" s="19" t="s">
        <v>19</v>
      </c>
      <c r="J41" s="19" t="s">
        <v>113</v>
      </c>
    </row>
    <row r="42" spans="1:10" ht="15.75" thickBot="1">
      <c r="A42" s="47">
        <v>9000</v>
      </c>
      <c r="B42" s="25" t="s">
        <v>31</v>
      </c>
      <c r="C42" s="26" t="s">
        <v>32</v>
      </c>
      <c r="D42" s="26" t="s">
        <v>19</v>
      </c>
      <c r="E42" s="26" t="s">
        <v>19</v>
      </c>
      <c r="G42" s="54">
        <v>7000</v>
      </c>
      <c r="H42" s="19" t="s">
        <v>114</v>
      </c>
      <c r="I42" s="19" t="s">
        <v>19</v>
      </c>
      <c r="J42" s="19" t="s">
        <v>115</v>
      </c>
    </row>
    <row r="43" spans="1:10" ht="15.75" thickBot="1">
      <c r="A43" s="47">
        <v>9088</v>
      </c>
      <c r="B43" s="25" t="s">
        <v>33</v>
      </c>
      <c r="C43" s="26" t="s">
        <v>34</v>
      </c>
      <c r="D43" s="26" t="s">
        <v>19</v>
      </c>
      <c r="E43" s="26" t="s">
        <v>19</v>
      </c>
      <c r="G43" s="54">
        <v>8000</v>
      </c>
      <c r="H43" s="19" t="s">
        <v>116</v>
      </c>
      <c r="I43" s="19" t="s">
        <v>19</v>
      </c>
      <c r="J43" s="19" t="s">
        <v>117</v>
      </c>
    </row>
    <row r="44" spans="1:10" ht="15.75" thickBot="1">
      <c r="A44" s="47">
        <v>9089</v>
      </c>
      <c r="B44" s="25" t="s">
        <v>35</v>
      </c>
      <c r="C44" s="26" t="s">
        <v>36</v>
      </c>
      <c r="D44" s="26" t="s">
        <v>19</v>
      </c>
      <c r="E44" s="26" t="s">
        <v>19</v>
      </c>
      <c r="G44" s="54">
        <v>9000</v>
      </c>
      <c r="H44" s="19" t="s">
        <v>118</v>
      </c>
      <c r="I44" s="19" t="s">
        <v>19</v>
      </c>
      <c r="J44" s="19" t="s">
        <v>119</v>
      </c>
    </row>
    <row r="45" spans="1:10" ht="15.75" thickBot="1">
      <c r="A45" s="48">
        <v>9090</v>
      </c>
      <c r="B45" s="27" t="s">
        <v>37</v>
      </c>
      <c r="C45" s="28" t="s">
        <v>38</v>
      </c>
      <c r="D45" s="28" t="s">
        <v>19</v>
      </c>
      <c r="E45" s="26" t="s">
        <v>19</v>
      </c>
      <c r="G45" s="54">
        <v>10000</v>
      </c>
      <c r="H45" s="19" t="s">
        <v>120</v>
      </c>
      <c r="I45" s="19" t="s">
        <v>71</v>
      </c>
      <c r="J45" s="19" t="s">
        <v>121</v>
      </c>
    </row>
    <row r="46" spans="1:10" ht="15.75" thickBot="1">
      <c r="A46" s="47">
        <v>9091</v>
      </c>
      <c r="B46" s="25" t="s">
        <v>39</v>
      </c>
      <c r="C46" s="26" t="s">
        <v>40</v>
      </c>
      <c r="D46" s="26" t="s">
        <v>41</v>
      </c>
      <c r="E46" s="26" t="s">
        <v>19</v>
      </c>
      <c r="G46" s="54">
        <v>11000</v>
      </c>
      <c r="H46" s="19" t="s">
        <v>122</v>
      </c>
      <c r="I46" s="19" t="s">
        <v>75</v>
      </c>
      <c r="J46" s="19" t="s">
        <v>123</v>
      </c>
    </row>
    <row r="47" spans="1:10" ht="15.75" thickBot="1">
      <c r="A47" s="47">
        <v>9092</v>
      </c>
      <c r="B47" s="25" t="s">
        <v>42</v>
      </c>
      <c r="C47" s="26" t="s">
        <v>43</v>
      </c>
      <c r="D47" s="26" t="s">
        <v>44</v>
      </c>
      <c r="E47" s="26" t="s">
        <v>19</v>
      </c>
      <c r="G47" s="54">
        <v>12000</v>
      </c>
      <c r="H47" s="19" t="s">
        <v>124</v>
      </c>
      <c r="I47" s="19" t="s">
        <v>125</v>
      </c>
      <c r="J47" s="19" t="s">
        <v>126</v>
      </c>
    </row>
    <row r="48" spans="1:10" ht="15.75" thickBot="1">
      <c r="A48" s="47">
        <v>9093</v>
      </c>
      <c r="B48" s="25" t="s">
        <v>45</v>
      </c>
      <c r="C48" s="26" t="s">
        <v>46</v>
      </c>
      <c r="D48" s="26" t="s">
        <v>47</v>
      </c>
      <c r="E48" s="26" t="s">
        <v>19</v>
      </c>
      <c r="G48" s="54">
        <v>13000</v>
      </c>
      <c r="H48" s="19" t="s">
        <v>128</v>
      </c>
      <c r="I48" s="19" t="s">
        <v>129</v>
      </c>
      <c r="J48" s="19" t="s">
        <v>130</v>
      </c>
    </row>
    <row r="49" spans="1:10" ht="15.75" thickBot="1">
      <c r="A49" s="47">
        <v>9543</v>
      </c>
      <c r="B49" s="25" t="s">
        <v>48</v>
      </c>
      <c r="C49" s="26" t="s">
        <v>49</v>
      </c>
      <c r="D49" s="26" t="s">
        <v>50</v>
      </c>
      <c r="E49" s="26" t="s">
        <v>19</v>
      </c>
      <c r="G49" s="54">
        <v>14000</v>
      </c>
      <c r="H49" s="19" t="s">
        <v>131</v>
      </c>
      <c r="I49" s="19" t="s">
        <v>132</v>
      </c>
      <c r="J49" s="19" t="s">
        <v>133</v>
      </c>
    </row>
    <row r="50" spans="1:10" ht="15.75" thickBot="1">
      <c r="A50" s="47">
        <v>9544</v>
      </c>
      <c r="B50" s="25" t="s">
        <v>51</v>
      </c>
      <c r="C50" s="26" t="s">
        <v>52</v>
      </c>
      <c r="D50" s="26" t="s">
        <v>53</v>
      </c>
      <c r="E50" s="26" t="s">
        <v>19</v>
      </c>
      <c r="G50" s="54">
        <v>15000</v>
      </c>
      <c r="H50" s="19" t="s">
        <v>134</v>
      </c>
      <c r="I50" s="19" t="s">
        <v>120</v>
      </c>
      <c r="J50" s="19" t="s">
        <v>111</v>
      </c>
    </row>
    <row r="51" spans="1:10" ht="18" customHeight="1" thickBot="1">
      <c r="A51" s="48">
        <v>9545</v>
      </c>
      <c r="B51" s="27" t="s">
        <v>54</v>
      </c>
      <c r="C51" s="28" t="s">
        <v>55</v>
      </c>
      <c r="D51" s="28" t="s">
        <v>56</v>
      </c>
      <c r="E51" s="28" t="s">
        <v>19</v>
      </c>
      <c r="F51" s="5"/>
      <c r="G51" s="54">
        <v>20000</v>
      </c>
      <c r="H51" s="19" t="s">
        <v>135</v>
      </c>
      <c r="I51" s="19" t="s">
        <v>136</v>
      </c>
      <c r="J51" s="19" t="s">
        <v>137</v>
      </c>
    </row>
    <row r="52" spans="1:10" ht="18" customHeight="1" thickBot="1">
      <c r="A52" s="47">
        <v>9546</v>
      </c>
      <c r="B52" s="25" t="s">
        <v>57</v>
      </c>
      <c r="C52" s="26" t="s">
        <v>58</v>
      </c>
      <c r="D52" s="26" t="s">
        <v>59</v>
      </c>
      <c r="E52" s="26" t="s">
        <v>60</v>
      </c>
      <c r="F52" s="5"/>
      <c r="G52" s="54">
        <v>21000</v>
      </c>
      <c r="H52" s="19" t="s">
        <v>138</v>
      </c>
      <c r="I52" s="19" t="s">
        <v>139</v>
      </c>
      <c r="J52" s="19" t="s">
        <v>140</v>
      </c>
    </row>
    <row r="53" spans="1:10" ht="18" customHeight="1" thickBot="1">
      <c r="A53" s="47">
        <v>9547</v>
      </c>
      <c r="B53" s="25" t="s">
        <v>61</v>
      </c>
      <c r="C53" s="26" t="s">
        <v>62</v>
      </c>
      <c r="D53" s="26" t="s">
        <v>63</v>
      </c>
      <c r="E53" s="26" t="s">
        <v>64</v>
      </c>
      <c r="F53" s="5"/>
      <c r="G53" s="55">
        <v>21100</v>
      </c>
      <c r="H53" s="20" t="s">
        <v>141</v>
      </c>
      <c r="I53" s="20" t="s">
        <v>138</v>
      </c>
      <c r="J53" s="20" t="s">
        <v>142</v>
      </c>
    </row>
    <row r="54" spans="1:10" ht="18" customHeight="1" thickBot="1">
      <c r="A54" s="47">
        <v>9548</v>
      </c>
      <c r="B54" s="25" t="s">
        <v>65</v>
      </c>
      <c r="C54" s="26" t="s">
        <v>66</v>
      </c>
      <c r="D54" s="26" t="s">
        <v>67</v>
      </c>
      <c r="E54" s="26" t="s">
        <v>68</v>
      </c>
      <c r="G54" s="55">
        <v>21200</v>
      </c>
      <c r="H54" s="20" t="s">
        <v>143</v>
      </c>
      <c r="I54" s="20" t="s">
        <v>144</v>
      </c>
      <c r="J54" s="20" t="s">
        <v>145</v>
      </c>
    </row>
    <row r="55" spans="1:10" ht="18" customHeight="1" thickBot="1">
      <c r="A55" s="47">
        <v>10000</v>
      </c>
      <c r="B55" s="25" t="s">
        <v>69</v>
      </c>
      <c r="C55" s="26" t="s">
        <v>70</v>
      </c>
      <c r="D55" s="26" t="s">
        <v>71</v>
      </c>
      <c r="E55" s="26" t="s">
        <v>72</v>
      </c>
      <c r="G55" s="54">
        <v>21300</v>
      </c>
      <c r="H55" s="19" t="s">
        <v>146</v>
      </c>
      <c r="I55" s="19" t="s">
        <v>147</v>
      </c>
      <c r="J55" s="19" t="s">
        <v>148</v>
      </c>
    </row>
    <row r="56" spans="1:10" ht="18" customHeight="1" thickBot="1">
      <c r="A56" s="47">
        <v>11000</v>
      </c>
      <c r="B56" s="25" t="s">
        <v>73</v>
      </c>
      <c r="C56" s="26" t="s">
        <v>74</v>
      </c>
      <c r="D56" s="26" t="s">
        <v>75</v>
      </c>
      <c r="E56" s="26" t="s">
        <v>76</v>
      </c>
      <c r="G56" s="54">
        <v>30000</v>
      </c>
      <c r="H56" s="19" t="s">
        <v>105</v>
      </c>
      <c r="I56" s="19" t="s">
        <v>149</v>
      </c>
      <c r="J56" s="19" t="s">
        <v>150</v>
      </c>
    </row>
    <row r="57" spans="7:10" ht="18" customHeight="1" thickBot="1">
      <c r="G57" s="54">
        <v>40000</v>
      </c>
      <c r="H57" s="19" t="s">
        <v>151</v>
      </c>
      <c r="I57" s="19" t="s">
        <v>152</v>
      </c>
      <c r="J57" s="19" t="s">
        <v>108</v>
      </c>
    </row>
    <row r="58" spans="1:10" ht="18" customHeight="1" thickBot="1">
      <c r="A58" s="149" t="s">
        <v>183</v>
      </c>
      <c r="B58" s="149"/>
      <c r="C58" s="149"/>
      <c r="D58" s="149"/>
      <c r="E58" s="149"/>
      <c r="G58" s="54">
        <v>50000</v>
      </c>
      <c r="H58" s="19" t="s">
        <v>153</v>
      </c>
      <c r="I58" s="19" t="s">
        <v>154</v>
      </c>
      <c r="J58" s="19" t="s">
        <v>155</v>
      </c>
    </row>
    <row r="59" spans="1:10" ht="18" customHeight="1" thickBot="1">
      <c r="A59" s="149" t="s">
        <v>172</v>
      </c>
      <c r="B59" s="149"/>
      <c r="C59" s="149"/>
      <c r="D59" s="149"/>
      <c r="E59" s="149"/>
      <c r="G59" s="54">
        <v>70000</v>
      </c>
      <c r="H59" s="19" t="s">
        <v>156</v>
      </c>
      <c r="I59" s="19" t="s">
        <v>157</v>
      </c>
      <c r="J59" s="19" t="s">
        <v>158</v>
      </c>
    </row>
    <row r="60" spans="1:10" ht="15.75" customHeight="1" thickBot="1">
      <c r="A60" s="30" t="s">
        <v>171</v>
      </c>
      <c r="B60" s="29"/>
      <c r="C60" s="29"/>
      <c r="D60" s="29"/>
      <c r="E60" s="29"/>
      <c r="G60" s="54">
        <v>80000</v>
      </c>
      <c r="H60" s="19" t="s">
        <v>159</v>
      </c>
      <c r="I60" s="19" t="s">
        <v>160</v>
      </c>
      <c r="J60" s="19" t="s">
        <v>161</v>
      </c>
    </row>
    <row r="61" spans="7:10" ht="15.75" customHeight="1" thickBot="1">
      <c r="G61" s="54">
        <v>100000</v>
      </c>
      <c r="H61" s="19" t="s">
        <v>127</v>
      </c>
      <c r="I61" s="19" t="s">
        <v>162</v>
      </c>
      <c r="J61" s="19" t="s">
        <v>163</v>
      </c>
    </row>
    <row r="62" spans="1:10" ht="15.75" thickBot="1">
      <c r="A62" s="31" t="s">
        <v>184</v>
      </c>
      <c r="B62" s="31"/>
      <c r="C62" s="31"/>
      <c r="D62" s="31"/>
      <c r="E62" s="31"/>
      <c r="G62" s="54">
        <v>120000</v>
      </c>
      <c r="H62" s="19" t="s">
        <v>164</v>
      </c>
      <c r="I62" s="19" t="s">
        <v>165</v>
      </c>
      <c r="J62" s="19" t="s">
        <v>166</v>
      </c>
    </row>
    <row r="63" spans="1:10" ht="15.75" thickBot="1">
      <c r="A63" s="31" t="s">
        <v>173</v>
      </c>
      <c r="B63" s="31"/>
      <c r="C63" s="31"/>
      <c r="D63" s="31"/>
      <c r="E63" s="31"/>
      <c r="G63" s="56">
        <v>150000</v>
      </c>
      <c r="H63" s="19" t="s">
        <v>167</v>
      </c>
      <c r="I63" s="19" t="s">
        <v>168</v>
      </c>
      <c r="J63" s="19" t="s">
        <v>169</v>
      </c>
    </row>
    <row r="72" spans="1:5" ht="15">
      <c r="A72" s="102" t="s">
        <v>174</v>
      </c>
      <c r="B72" s="102"/>
      <c r="C72" s="102"/>
      <c r="D72" s="102"/>
      <c r="E72" s="102"/>
    </row>
    <row r="73" spans="1:5" ht="15">
      <c r="A73" s="8"/>
      <c r="B73" s="8"/>
      <c r="C73" s="8"/>
      <c r="D73" s="8"/>
      <c r="E73" s="8"/>
    </row>
    <row r="74" spans="1:5" ht="15.75">
      <c r="A74" s="103" t="s">
        <v>174</v>
      </c>
      <c r="B74" s="104"/>
      <c r="C74" s="104"/>
      <c r="D74" s="104"/>
      <c r="E74" s="104"/>
    </row>
  </sheetData>
  <sheetProtection/>
  <mergeCells count="26">
    <mergeCell ref="J28:J29"/>
    <mergeCell ref="G25:J25"/>
    <mergeCell ref="G6:G8"/>
    <mergeCell ref="I17:I19"/>
    <mergeCell ref="J17:K17"/>
    <mergeCell ref="H17:H19"/>
    <mergeCell ref="G28:G29"/>
    <mergeCell ref="G17:G19"/>
    <mergeCell ref="G26:J26"/>
    <mergeCell ref="G1:J1"/>
    <mergeCell ref="A1:E2"/>
    <mergeCell ref="H6:H8"/>
    <mergeCell ref="I6:I8"/>
    <mergeCell ref="J6:K6"/>
    <mergeCell ref="A3:A5"/>
    <mergeCell ref="B3:B5"/>
    <mergeCell ref="C3:C5"/>
    <mergeCell ref="G5:K5"/>
    <mergeCell ref="D3:E3"/>
    <mergeCell ref="D18:E18"/>
    <mergeCell ref="D17:E17"/>
    <mergeCell ref="A25:E25"/>
    <mergeCell ref="A12:B12"/>
    <mergeCell ref="A58:E58"/>
    <mergeCell ref="A59:E59"/>
    <mergeCell ref="A27:A28"/>
  </mergeCells>
  <printOptions horizontalCentered="1"/>
  <pageMargins left="0.11811023622047245" right="0.11811023622047245" top="0.35433070866141736" bottom="0.15748031496062992"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M65"/>
  <sheetViews>
    <sheetView zoomScalePageLayoutView="0" workbookViewId="0" topLeftCell="A1">
      <selection activeCell="A1" sqref="A1:L1"/>
    </sheetView>
  </sheetViews>
  <sheetFormatPr defaultColWidth="9.140625" defaultRowHeight="15"/>
  <cols>
    <col min="1" max="1" width="13.7109375" style="0" bestFit="1" customWidth="1"/>
    <col min="5" max="5" width="11.57421875" style="0" bestFit="1" customWidth="1"/>
    <col min="6" max="6" width="13.00390625" style="0" customWidth="1"/>
    <col min="7" max="7" width="12.00390625" style="0" customWidth="1"/>
    <col min="8" max="8" width="13.7109375" style="0" bestFit="1" customWidth="1"/>
    <col min="9" max="9" width="11.8515625" style="0" bestFit="1" customWidth="1"/>
    <col min="10" max="10" width="10.57421875" style="0" bestFit="1" customWidth="1"/>
    <col min="11" max="11" width="11.421875" style="0" bestFit="1" customWidth="1"/>
    <col min="12" max="12" width="10.7109375" style="0" customWidth="1"/>
    <col min="13" max="13" width="9.140625" style="0" customWidth="1"/>
  </cols>
  <sheetData>
    <row r="1" spans="1:13" ht="60.75" customHeight="1">
      <c r="A1" s="177" t="s">
        <v>229</v>
      </c>
      <c r="B1" s="177"/>
      <c r="C1" s="177"/>
      <c r="D1" s="177"/>
      <c r="E1" s="177"/>
      <c r="F1" s="177"/>
      <c r="G1" s="177"/>
      <c r="H1" s="177"/>
      <c r="I1" s="177"/>
      <c r="J1" s="177"/>
      <c r="K1" s="177"/>
      <c r="L1" s="177"/>
      <c r="M1" s="60" t="s">
        <v>178</v>
      </c>
    </row>
    <row r="2" spans="1:13" ht="115.5">
      <c r="A2" s="85" t="s">
        <v>195</v>
      </c>
      <c r="B2" s="85" t="s">
        <v>205</v>
      </c>
      <c r="C2" s="42" t="s">
        <v>206</v>
      </c>
      <c r="D2" s="42" t="s">
        <v>207</v>
      </c>
      <c r="E2" s="64" t="s">
        <v>198</v>
      </c>
      <c r="F2" s="57" t="s">
        <v>185</v>
      </c>
      <c r="G2" s="58" t="s">
        <v>201</v>
      </c>
      <c r="H2" s="42" t="s">
        <v>202</v>
      </c>
      <c r="I2" s="58" t="s">
        <v>203</v>
      </c>
      <c r="J2" s="42" t="s">
        <v>204</v>
      </c>
      <c r="K2" s="65" t="s">
        <v>199</v>
      </c>
      <c r="L2" s="42" t="s">
        <v>208</v>
      </c>
      <c r="M2" s="66" t="s">
        <v>200</v>
      </c>
    </row>
    <row r="3" spans="1:13" ht="33.75">
      <c r="A3" s="93" t="s">
        <v>186</v>
      </c>
      <c r="B3" s="93" t="s">
        <v>187</v>
      </c>
      <c r="C3" s="130" t="s">
        <v>188</v>
      </c>
      <c r="D3" s="61" t="s">
        <v>189</v>
      </c>
      <c r="E3" s="62" t="s">
        <v>196</v>
      </c>
      <c r="F3" s="62" t="s">
        <v>194</v>
      </c>
      <c r="G3" s="61" t="s">
        <v>190</v>
      </c>
      <c r="H3" s="61" t="s">
        <v>191</v>
      </c>
      <c r="I3" s="61" t="s">
        <v>192</v>
      </c>
      <c r="J3" s="61" t="s">
        <v>193</v>
      </c>
      <c r="K3" s="62" t="s">
        <v>197</v>
      </c>
      <c r="L3" s="61" t="s">
        <v>230</v>
      </c>
      <c r="M3" s="68" t="s">
        <v>209</v>
      </c>
    </row>
    <row r="4" spans="1:13" ht="18">
      <c r="A4" s="89">
        <v>10000</v>
      </c>
      <c r="B4" s="90">
        <f>A4*1!$G$3</f>
        <v>2000</v>
      </c>
      <c r="C4" s="70">
        <f>A4*1!$H$3</f>
        <v>695.0000000000001</v>
      </c>
      <c r="D4" s="70">
        <f>A4*1!$J$3</f>
        <v>400</v>
      </c>
      <c r="E4" s="71">
        <f>SUM(B4:D4)</f>
        <v>3095</v>
      </c>
      <c r="F4" s="72">
        <f>A4-E4</f>
        <v>6905</v>
      </c>
      <c r="G4" s="70">
        <f>F4*1!$B$6</f>
        <v>1519.1</v>
      </c>
      <c r="H4" s="70">
        <f>G4*100%</f>
        <v>1519.1</v>
      </c>
      <c r="I4" s="70">
        <v>0</v>
      </c>
      <c r="J4" s="70">
        <v>650</v>
      </c>
      <c r="K4" s="73">
        <f>G4+I4+J4</f>
        <v>2169.1</v>
      </c>
      <c r="L4" s="74">
        <f>F4-G4-I4-J4</f>
        <v>4735.9</v>
      </c>
      <c r="M4" s="75">
        <f>L4/A4-1</f>
        <v>-0.52641</v>
      </c>
    </row>
    <row r="5" spans="1:13" ht="18">
      <c r="A5" s="69">
        <v>11000</v>
      </c>
      <c r="B5" s="70">
        <f>A5*1!$G$3</f>
        <v>2200</v>
      </c>
      <c r="C5" s="70">
        <f>A5*1!$H$3</f>
        <v>764.5000000000001</v>
      </c>
      <c r="D5" s="70">
        <f>A5*1!$J$3</f>
        <v>440</v>
      </c>
      <c r="E5" s="71">
        <f aca="true" t="shared" si="0" ref="E5:E64">SUM(B5:D5)</f>
        <v>3404.5</v>
      </c>
      <c r="F5" s="72">
        <f aca="true" t="shared" si="1" ref="F5:F64">A5-E5</f>
        <v>7595.5</v>
      </c>
      <c r="G5" s="70">
        <f>F5*1!$B$6</f>
        <v>1671.01</v>
      </c>
      <c r="H5" s="70">
        <f aca="true" t="shared" si="2" ref="H5:H64">G5*100%</f>
        <v>1671.01</v>
      </c>
      <c r="I5" s="70">
        <v>0</v>
      </c>
      <c r="J5" s="70">
        <v>650</v>
      </c>
      <c r="K5" s="73">
        <f aca="true" t="shared" si="3" ref="K5:K64">G5+I5+J5</f>
        <v>2321.01</v>
      </c>
      <c r="L5" s="74">
        <f aca="true" t="shared" si="4" ref="L5:L35">F5-G5-I5-J5</f>
        <v>5274.49</v>
      </c>
      <c r="M5" s="75">
        <f aca="true" t="shared" si="5" ref="M5:M35">L5/A5-1</f>
        <v>-0.5205009090909092</v>
      </c>
    </row>
    <row r="6" spans="1:13" ht="18">
      <c r="A6" s="69">
        <v>12000</v>
      </c>
      <c r="B6" s="70">
        <f>A6*1!$G$3</f>
        <v>2400</v>
      </c>
      <c r="C6" s="70">
        <f>A6*1!$H$3</f>
        <v>834.0000000000001</v>
      </c>
      <c r="D6" s="70">
        <f>A6*1!$J$3</f>
        <v>480</v>
      </c>
      <c r="E6" s="71">
        <f t="shared" si="0"/>
        <v>3714</v>
      </c>
      <c r="F6" s="72">
        <f t="shared" si="1"/>
        <v>8286</v>
      </c>
      <c r="G6" s="70">
        <f>F6*1!$B$6</f>
        <v>1822.92</v>
      </c>
      <c r="H6" s="70">
        <f t="shared" si="2"/>
        <v>1822.92</v>
      </c>
      <c r="I6" s="76">
        <v>0</v>
      </c>
      <c r="J6" s="70">
        <v>650</v>
      </c>
      <c r="K6" s="73">
        <f t="shared" si="3"/>
        <v>2472.92</v>
      </c>
      <c r="L6" s="74">
        <f t="shared" si="4"/>
        <v>5813.08</v>
      </c>
      <c r="M6" s="75">
        <f t="shared" si="5"/>
        <v>-0.5155766666666667</v>
      </c>
    </row>
    <row r="7" spans="1:13" ht="18">
      <c r="A7" s="69">
        <v>13000</v>
      </c>
      <c r="B7" s="70">
        <f>A7*1!$G$3</f>
        <v>2600</v>
      </c>
      <c r="C7" s="70">
        <f>A7*1!$H$3</f>
        <v>903.5000000000001</v>
      </c>
      <c r="D7" s="70">
        <f>A7*1!$J$3</f>
        <v>520</v>
      </c>
      <c r="E7" s="71">
        <f t="shared" si="0"/>
        <v>4023.5</v>
      </c>
      <c r="F7" s="72">
        <f t="shared" si="1"/>
        <v>8976.5</v>
      </c>
      <c r="G7" s="70">
        <f>F7*1!$B$6</f>
        <v>1974.83</v>
      </c>
      <c r="H7" s="70">
        <f t="shared" si="2"/>
        <v>1974.83</v>
      </c>
      <c r="I7" s="70">
        <v>0</v>
      </c>
      <c r="J7" s="70">
        <v>650</v>
      </c>
      <c r="K7" s="73">
        <f t="shared" si="3"/>
        <v>2624.83</v>
      </c>
      <c r="L7" s="74">
        <f t="shared" si="4"/>
        <v>6351.67</v>
      </c>
      <c r="M7" s="75">
        <f t="shared" si="5"/>
        <v>-0.5114099999999999</v>
      </c>
    </row>
    <row r="8" spans="1:13" ht="18">
      <c r="A8" s="69">
        <v>14000</v>
      </c>
      <c r="B8" s="70">
        <f>A8*1!$G$3</f>
        <v>2800</v>
      </c>
      <c r="C8" s="70">
        <f>A8*1!$H$3</f>
        <v>973.0000000000001</v>
      </c>
      <c r="D8" s="70">
        <f>A8*1!$J$3</f>
        <v>560</v>
      </c>
      <c r="E8" s="71">
        <f t="shared" si="0"/>
        <v>4333</v>
      </c>
      <c r="F8" s="72">
        <f t="shared" si="1"/>
        <v>9667</v>
      </c>
      <c r="G8" s="70">
        <f>F8*1!$B$6</f>
        <v>2126.7400000000002</v>
      </c>
      <c r="H8" s="70">
        <f t="shared" si="2"/>
        <v>2126.7400000000002</v>
      </c>
      <c r="I8" s="70">
        <v>0</v>
      </c>
      <c r="J8" s="70">
        <v>650</v>
      </c>
      <c r="K8" s="73">
        <f t="shared" si="3"/>
        <v>2776.7400000000002</v>
      </c>
      <c r="L8" s="74">
        <f t="shared" si="4"/>
        <v>6890.26</v>
      </c>
      <c r="M8" s="75">
        <f t="shared" si="5"/>
        <v>-0.5078385714285714</v>
      </c>
    </row>
    <row r="9" spans="1:13" ht="18">
      <c r="A9" s="69">
        <v>15000</v>
      </c>
      <c r="B9" s="70">
        <f>A9*1!$G$3</f>
        <v>3000</v>
      </c>
      <c r="C9" s="70">
        <f>A9*1!$H$3</f>
        <v>1042.5</v>
      </c>
      <c r="D9" s="70">
        <f>A9*1!$J$3</f>
        <v>600</v>
      </c>
      <c r="E9" s="71">
        <f t="shared" si="0"/>
        <v>4642.5</v>
      </c>
      <c r="F9" s="72">
        <f t="shared" si="1"/>
        <v>10357.5</v>
      </c>
      <c r="G9" s="70">
        <f>F9*1!$B$6</f>
        <v>2278.65</v>
      </c>
      <c r="H9" s="70">
        <f t="shared" si="2"/>
        <v>2278.65</v>
      </c>
      <c r="I9" s="70">
        <v>0</v>
      </c>
      <c r="J9" s="70">
        <v>650</v>
      </c>
      <c r="K9" s="73">
        <f t="shared" si="3"/>
        <v>2928.65</v>
      </c>
      <c r="L9" s="74">
        <f t="shared" si="4"/>
        <v>7428.85</v>
      </c>
      <c r="M9" s="75">
        <f t="shared" si="5"/>
        <v>-0.5047433333333333</v>
      </c>
    </row>
    <row r="10" spans="1:13" ht="18">
      <c r="A10" s="69">
        <v>16000</v>
      </c>
      <c r="B10" s="70">
        <f>A10*1!$G$3</f>
        <v>3200</v>
      </c>
      <c r="C10" s="70">
        <f>A10*1!$H$3</f>
        <v>1112</v>
      </c>
      <c r="D10" s="70">
        <f>A10*1!$J$3</f>
        <v>640</v>
      </c>
      <c r="E10" s="71">
        <f t="shared" si="0"/>
        <v>4952</v>
      </c>
      <c r="F10" s="72">
        <f t="shared" si="1"/>
        <v>11048</v>
      </c>
      <c r="G10" s="70">
        <f>F10*1!$B$6</f>
        <v>2430.56</v>
      </c>
      <c r="H10" s="70">
        <f t="shared" si="2"/>
        <v>2430.56</v>
      </c>
      <c r="I10" s="70">
        <v>0</v>
      </c>
      <c r="J10" s="70">
        <v>650</v>
      </c>
      <c r="K10" s="73">
        <f t="shared" si="3"/>
        <v>3080.56</v>
      </c>
      <c r="L10" s="74">
        <f t="shared" si="4"/>
        <v>7967.4400000000005</v>
      </c>
      <c r="M10" s="75">
        <f t="shared" si="5"/>
        <v>-0.502035</v>
      </c>
    </row>
    <row r="11" spans="1:13" ht="18">
      <c r="A11" s="69">
        <v>17000</v>
      </c>
      <c r="B11" s="70">
        <f>A11*1!$G$3</f>
        <v>3400</v>
      </c>
      <c r="C11" s="70">
        <f>A11*1!$H$3</f>
        <v>1181.5</v>
      </c>
      <c r="D11" s="70">
        <f>A11*1!$J$3</f>
        <v>680</v>
      </c>
      <c r="E11" s="71">
        <f t="shared" si="0"/>
        <v>5261.5</v>
      </c>
      <c r="F11" s="72">
        <f t="shared" si="1"/>
        <v>11738.5</v>
      </c>
      <c r="G11" s="70">
        <f>F11*1!$B$6</f>
        <v>2582.47</v>
      </c>
      <c r="H11" s="70">
        <f t="shared" si="2"/>
        <v>2582.47</v>
      </c>
      <c r="I11" s="70">
        <v>0</v>
      </c>
      <c r="J11" s="70">
        <v>650</v>
      </c>
      <c r="K11" s="73">
        <f t="shared" si="3"/>
        <v>3232.47</v>
      </c>
      <c r="L11" s="74">
        <f t="shared" si="4"/>
        <v>8506.03</v>
      </c>
      <c r="M11" s="75">
        <f t="shared" si="5"/>
        <v>-0.499645294117647</v>
      </c>
    </row>
    <row r="12" spans="1:13" ht="18">
      <c r="A12" s="69">
        <v>18000</v>
      </c>
      <c r="B12" s="70">
        <f>A12*1!$G$3</f>
        <v>3600</v>
      </c>
      <c r="C12" s="70">
        <f>A12*1!$H$3</f>
        <v>1251</v>
      </c>
      <c r="D12" s="70">
        <f>A12*1!$J$3</f>
        <v>720</v>
      </c>
      <c r="E12" s="71">
        <f t="shared" si="0"/>
        <v>5571</v>
      </c>
      <c r="F12" s="72">
        <f t="shared" si="1"/>
        <v>12429</v>
      </c>
      <c r="G12" s="70">
        <f>F12*1!$B$6</f>
        <v>2734.38</v>
      </c>
      <c r="H12" s="70">
        <f t="shared" si="2"/>
        <v>2734.38</v>
      </c>
      <c r="I12" s="70">
        <f>(F12-12000)*1!$H$10</f>
        <v>9.437999999999999</v>
      </c>
      <c r="J12" s="70">
        <v>650</v>
      </c>
      <c r="K12" s="73">
        <f t="shared" si="3"/>
        <v>3393.818</v>
      </c>
      <c r="L12" s="74">
        <f t="shared" si="4"/>
        <v>9035.181999999999</v>
      </c>
      <c r="M12" s="75">
        <f t="shared" si="5"/>
        <v>-0.49804544444444454</v>
      </c>
    </row>
    <row r="13" spans="1:13" ht="18">
      <c r="A13" s="69">
        <v>19000</v>
      </c>
      <c r="B13" s="70">
        <f>A13*1!$G$3</f>
        <v>3800</v>
      </c>
      <c r="C13" s="70">
        <f>A13*1!$H$3</f>
        <v>1320.5000000000002</v>
      </c>
      <c r="D13" s="70">
        <f>A13*1!$J$3</f>
        <v>760</v>
      </c>
      <c r="E13" s="71">
        <f t="shared" si="0"/>
        <v>5880.5</v>
      </c>
      <c r="F13" s="72">
        <f t="shared" si="1"/>
        <v>13119.5</v>
      </c>
      <c r="G13" s="70">
        <f>F13*1!$B$6</f>
        <v>2886.29</v>
      </c>
      <c r="H13" s="70">
        <f t="shared" si="2"/>
        <v>2886.29</v>
      </c>
      <c r="I13" s="70">
        <f>(F13-12000)*1!$H$10</f>
        <v>24.628999999999998</v>
      </c>
      <c r="J13" s="70">
        <v>650</v>
      </c>
      <c r="K13" s="73">
        <f t="shared" si="3"/>
        <v>3560.919</v>
      </c>
      <c r="L13" s="74">
        <f t="shared" si="4"/>
        <v>9558.580999999998</v>
      </c>
      <c r="M13" s="75">
        <f t="shared" si="5"/>
        <v>-0.49691678947368434</v>
      </c>
    </row>
    <row r="14" spans="1:13" ht="18">
      <c r="A14" s="69">
        <v>20000</v>
      </c>
      <c r="B14" s="70">
        <f>A14*1!$G$3</f>
        <v>4000</v>
      </c>
      <c r="C14" s="70">
        <f>A14*1!$H$3</f>
        <v>1390.0000000000002</v>
      </c>
      <c r="D14" s="70">
        <f>A14*1!$J$3</f>
        <v>800</v>
      </c>
      <c r="E14" s="71">
        <f t="shared" si="0"/>
        <v>6190</v>
      </c>
      <c r="F14" s="72">
        <f t="shared" si="1"/>
        <v>13810</v>
      </c>
      <c r="G14" s="70">
        <f>F14*1!$B$6</f>
        <v>3038.2</v>
      </c>
      <c r="H14" s="70">
        <f t="shared" si="2"/>
        <v>3038.2</v>
      </c>
      <c r="I14" s="70">
        <f>(F14-12000)*1!$H$10</f>
        <v>39.82</v>
      </c>
      <c r="J14" s="70">
        <v>650</v>
      </c>
      <c r="K14" s="73">
        <f t="shared" si="3"/>
        <v>3728.02</v>
      </c>
      <c r="L14" s="74">
        <f t="shared" si="4"/>
        <v>10081.98</v>
      </c>
      <c r="M14" s="75">
        <f t="shared" si="5"/>
        <v>-0.49590100000000004</v>
      </c>
    </row>
    <row r="15" spans="1:13" ht="18">
      <c r="A15" s="69">
        <v>21000</v>
      </c>
      <c r="B15" s="70">
        <f>A15*1!$G$3</f>
        <v>4200</v>
      </c>
      <c r="C15" s="70">
        <f>A15*1!$H$3</f>
        <v>1459.5000000000002</v>
      </c>
      <c r="D15" s="70">
        <f>A15*1!$J$3</f>
        <v>840</v>
      </c>
      <c r="E15" s="71">
        <f t="shared" si="0"/>
        <v>6499.5</v>
      </c>
      <c r="F15" s="72">
        <f t="shared" si="1"/>
        <v>14500.5</v>
      </c>
      <c r="G15" s="70">
        <f>F15*1!$B$6</f>
        <v>3190.11</v>
      </c>
      <c r="H15" s="70">
        <f t="shared" si="2"/>
        <v>3190.11</v>
      </c>
      <c r="I15" s="70">
        <f>(F15-12000)*1!$H$10</f>
        <v>55.010999999999996</v>
      </c>
      <c r="J15" s="70">
        <v>650</v>
      </c>
      <c r="K15" s="73">
        <f t="shared" si="3"/>
        <v>3895.121</v>
      </c>
      <c r="L15" s="74">
        <f t="shared" si="4"/>
        <v>10605.378999999999</v>
      </c>
      <c r="M15" s="75">
        <f t="shared" si="5"/>
        <v>-0.49498195238095244</v>
      </c>
    </row>
    <row r="16" spans="1:13" ht="18">
      <c r="A16" s="69">
        <v>22000</v>
      </c>
      <c r="B16" s="70">
        <f>A16*1!$G$3</f>
        <v>4400</v>
      </c>
      <c r="C16" s="70">
        <f>A16*1!$H$3</f>
        <v>1529.0000000000002</v>
      </c>
      <c r="D16" s="70">
        <f>A16*1!$J$3</f>
        <v>880</v>
      </c>
      <c r="E16" s="71">
        <f t="shared" si="0"/>
        <v>6809</v>
      </c>
      <c r="F16" s="72">
        <f t="shared" si="1"/>
        <v>15191</v>
      </c>
      <c r="G16" s="70">
        <f>F16*1!$B$6</f>
        <v>3342.02</v>
      </c>
      <c r="H16" s="70">
        <f t="shared" si="2"/>
        <v>3342.02</v>
      </c>
      <c r="I16" s="70">
        <f>(F16-12000)*1!$H$10</f>
        <v>70.202</v>
      </c>
      <c r="J16" s="70">
        <v>650</v>
      </c>
      <c r="K16" s="73">
        <f t="shared" si="3"/>
        <v>4062.2219999999998</v>
      </c>
      <c r="L16" s="74">
        <f t="shared" si="4"/>
        <v>11128.778</v>
      </c>
      <c r="M16" s="75">
        <f t="shared" si="5"/>
        <v>-0.4941464545454546</v>
      </c>
    </row>
    <row r="17" spans="1:13" ht="18">
      <c r="A17" s="69">
        <v>23000</v>
      </c>
      <c r="B17" s="70">
        <f>A17*1!$G$3</f>
        <v>4600</v>
      </c>
      <c r="C17" s="70">
        <f>A17*1!$H$3</f>
        <v>1598.5000000000002</v>
      </c>
      <c r="D17" s="70">
        <f>A17*1!$J$3</f>
        <v>920</v>
      </c>
      <c r="E17" s="71">
        <f t="shared" si="0"/>
        <v>7118.5</v>
      </c>
      <c r="F17" s="72">
        <f t="shared" si="1"/>
        <v>15881.5</v>
      </c>
      <c r="G17" s="70">
        <f>F17*1!$B$6</f>
        <v>3493.93</v>
      </c>
      <c r="H17" s="70">
        <f t="shared" si="2"/>
        <v>3493.93</v>
      </c>
      <c r="I17" s="70">
        <f>(F17-12000)*1!$H$10</f>
        <v>85.393</v>
      </c>
      <c r="J17" s="70">
        <v>650</v>
      </c>
      <c r="K17" s="73">
        <f t="shared" si="3"/>
        <v>4229.323</v>
      </c>
      <c r="L17" s="74">
        <f t="shared" si="4"/>
        <v>11652.177</v>
      </c>
      <c r="M17" s="75">
        <f t="shared" si="5"/>
        <v>-0.49338360869565223</v>
      </c>
    </row>
    <row r="18" spans="1:13" ht="18">
      <c r="A18" s="69">
        <v>24000</v>
      </c>
      <c r="B18" s="70">
        <f>A18*1!$G$3</f>
        <v>4800</v>
      </c>
      <c r="C18" s="70">
        <f>A18*1!$H$3</f>
        <v>1668.0000000000002</v>
      </c>
      <c r="D18" s="70">
        <f>A18*1!$J$3</f>
        <v>960</v>
      </c>
      <c r="E18" s="71">
        <f t="shared" si="0"/>
        <v>7428</v>
      </c>
      <c r="F18" s="72">
        <f t="shared" si="1"/>
        <v>16572</v>
      </c>
      <c r="G18" s="70">
        <f>F18*1!$B$6</f>
        <v>3645.84</v>
      </c>
      <c r="H18" s="70">
        <f t="shared" si="2"/>
        <v>3645.84</v>
      </c>
      <c r="I18" s="70">
        <f>(F18-12000)*1!$H$10</f>
        <v>100.58399999999999</v>
      </c>
      <c r="J18" s="70">
        <v>650</v>
      </c>
      <c r="K18" s="73">
        <f t="shared" si="3"/>
        <v>4396.424</v>
      </c>
      <c r="L18" s="74">
        <f t="shared" si="4"/>
        <v>12175.576</v>
      </c>
      <c r="M18" s="75">
        <f t="shared" si="5"/>
        <v>-0.4926843333333334</v>
      </c>
    </row>
    <row r="19" spans="1:13" ht="18">
      <c r="A19" s="69">
        <v>25000</v>
      </c>
      <c r="B19" s="70">
        <f>A19*1!$G$3</f>
        <v>5000</v>
      </c>
      <c r="C19" s="70">
        <f>A19*1!$H$3</f>
        <v>1737.5000000000002</v>
      </c>
      <c r="D19" s="70">
        <f>A19*1!$J$3</f>
        <v>1000</v>
      </c>
      <c r="E19" s="71">
        <f t="shared" si="0"/>
        <v>7737.5</v>
      </c>
      <c r="F19" s="72">
        <f t="shared" si="1"/>
        <v>17262.5</v>
      </c>
      <c r="G19" s="70">
        <f>F19*1!$B$6</f>
        <v>3797.75</v>
      </c>
      <c r="H19" s="70">
        <f t="shared" si="2"/>
        <v>3797.75</v>
      </c>
      <c r="I19" s="70">
        <f>(F19-12000)*1!$H$10</f>
        <v>115.77499999999999</v>
      </c>
      <c r="J19" s="70">
        <v>650</v>
      </c>
      <c r="K19" s="73">
        <f t="shared" si="3"/>
        <v>4563.525</v>
      </c>
      <c r="L19" s="74">
        <f t="shared" si="4"/>
        <v>12698.975</v>
      </c>
      <c r="M19" s="75">
        <f t="shared" si="5"/>
        <v>-0.49204099999999995</v>
      </c>
    </row>
    <row r="20" spans="1:13" ht="18">
      <c r="A20" s="69">
        <v>26000</v>
      </c>
      <c r="B20" s="70">
        <f>A20*1!$G$3</f>
        <v>5200</v>
      </c>
      <c r="C20" s="70">
        <f>A20*1!$H$3</f>
        <v>1807.0000000000002</v>
      </c>
      <c r="D20" s="70">
        <f>A20*1!$J$3</f>
        <v>1040</v>
      </c>
      <c r="E20" s="71">
        <f t="shared" si="0"/>
        <v>8047</v>
      </c>
      <c r="F20" s="72">
        <f t="shared" si="1"/>
        <v>17953</v>
      </c>
      <c r="G20" s="70">
        <f>F20*1!$B$6</f>
        <v>3949.66</v>
      </c>
      <c r="H20" s="70">
        <f t="shared" si="2"/>
        <v>3949.66</v>
      </c>
      <c r="I20" s="70">
        <f>(F20-12000)*1!$H$10</f>
        <v>130.96599999999998</v>
      </c>
      <c r="J20" s="70">
        <v>650</v>
      </c>
      <c r="K20" s="73">
        <f t="shared" si="3"/>
        <v>4730.626</v>
      </c>
      <c r="L20" s="74">
        <f t="shared" si="4"/>
        <v>13222.374</v>
      </c>
      <c r="M20" s="75">
        <f t="shared" si="5"/>
        <v>-0.4914471538461539</v>
      </c>
    </row>
    <row r="21" spans="1:13" ht="18">
      <c r="A21" s="69">
        <v>27000</v>
      </c>
      <c r="B21" s="70">
        <f>A21*1!$G$3</f>
        <v>5400</v>
      </c>
      <c r="C21" s="70">
        <f>A21*1!$H$3</f>
        <v>1876.5000000000002</v>
      </c>
      <c r="D21" s="70">
        <f>A21*1!$J$3</f>
        <v>1080</v>
      </c>
      <c r="E21" s="71">
        <f t="shared" si="0"/>
        <v>8356.5</v>
      </c>
      <c r="F21" s="72">
        <f t="shared" si="1"/>
        <v>18643.5</v>
      </c>
      <c r="G21" s="70">
        <f>F21*1!$B$6</f>
        <v>4101.57</v>
      </c>
      <c r="H21" s="70">
        <f t="shared" si="2"/>
        <v>4101.57</v>
      </c>
      <c r="I21" s="70">
        <f>(F21-12000)*1!$H$10</f>
        <v>146.15699999999998</v>
      </c>
      <c r="J21" s="70">
        <v>650</v>
      </c>
      <c r="K21" s="73">
        <f t="shared" si="3"/>
        <v>4897.727</v>
      </c>
      <c r="L21" s="74">
        <f t="shared" si="4"/>
        <v>13745.773000000001</v>
      </c>
      <c r="M21" s="75">
        <f t="shared" si="5"/>
        <v>-0.4908972962962963</v>
      </c>
    </row>
    <row r="22" spans="1:13" ht="18">
      <c r="A22" s="69">
        <v>28000</v>
      </c>
      <c r="B22" s="70">
        <f>A22*1!$G$3</f>
        <v>5600</v>
      </c>
      <c r="C22" s="70">
        <f>A22*1!$H$3</f>
        <v>1946.0000000000002</v>
      </c>
      <c r="D22" s="70">
        <f>A22*1!$J$3</f>
        <v>1120</v>
      </c>
      <c r="E22" s="71">
        <f t="shared" si="0"/>
        <v>8666</v>
      </c>
      <c r="F22" s="72">
        <f t="shared" si="1"/>
        <v>19334</v>
      </c>
      <c r="G22" s="70">
        <f>F22*1!$B$6</f>
        <v>4253.4800000000005</v>
      </c>
      <c r="H22" s="70">
        <f t="shared" si="2"/>
        <v>4253.4800000000005</v>
      </c>
      <c r="I22" s="70">
        <f>(F22-12000)*1!$H$10</f>
        <v>161.34799999999998</v>
      </c>
      <c r="J22" s="70">
        <v>650</v>
      </c>
      <c r="K22" s="73">
        <f t="shared" si="3"/>
        <v>5064.828</v>
      </c>
      <c r="L22" s="74">
        <f t="shared" si="4"/>
        <v>14269.172</v>
      </c>
      <c r="M22" s="75">
        <f t="shared" si="5"/>
        <v>-0.49038671428571423</v>
      </c>
    </row>
    <row r="23" spans="1:13" ht="18">
      <c r="A23" s="69">
        <v>29000</v>
      </c>
      <c r="B23" s="70">
        <f>A23*1!$G$3</f>
        <v>5800</v>
      </c>
      <c r="C23" s="70">
        <f>A23*1!$H$3</f>
        <v>2015.5000000000002</v>
      </c>
      <c r="D23" s="70">
        <f>A23*1!$J$3</f>
        <v>1160</v>
      </c>
      <c r="E23" s="71">
        <f t="shared" si="0"/>
        <v>8975.5</v>
      </c>
      <c r="F23" s="72">
        <f t="shared" si="1"/>
        <v>20024.5</v>
      </c>
      <c r="G23" s="70">
        <f>1!$A$6*1!$B$6+24.5*1!$B$7</f>
        <v>4407.105</v>
      </c>
      <c r="H23" s="70">
        <f t="shared" si="2"/>
        <v>4407.105</v>
      </c>
      <c r="I23" s="76">
        <f>1!$K$10+(F23-12000-8000)*5%</f>
        <v>177.225</v>
      </c>
      <c r="J23" s="70">
        <v>650</v>
      </c>
      <c r="K23" s="73">
        <f t="shared" si="3"/>
        <v>5234.33</v>
      </c>
      <c r="L23" s="74">
        <f t="shared" si="4"/>
        <v>14790.17</v>
      </c>
      <c r="M23" s="75">
        <f t="shared" si="5"/>
        <v>-0.4899941379310345</v>
      </c>
    </row>
    <row r="24" spans="1:13" ht="18">
      <c r="A24" s="69">
        <v>30000</v>
      </c>
      <c r="B24" s="70">
        <f>A24*1!$G$3</f>
        <v>6000</v>
      </c>
      <c r="C24" s="70">
        <f>A24*1!$H$3</f>
        <v>2085</v>
      </c>
      <c r="D24" s="70">
        <f>A24*1!$J$3</f>
        <v>1200</v>
      </c>
      <c r="E24" s="71">
        <f t="shared" si="0"/>
        <v>9285</v>
      </c>
      <c r="F24" s="72">
        <f t="shared" si="1"/>
        <v>20715</v>
      </c>
      <c r="G24" s="70">
        <f>1!$A$6*1!$B$6+715*1!$B$7</f>
        <v>4607.35</v>
      </c>
      <c r="H24" s="70">
        <f t="shared" si="2"/>
        <v>4607.35</v>
      </c>
      <c r="I24" s="76">
        <f>1!$K$10+(F24-12000-8000)*5%</f>
        <v>211.75</v>
      </c>
      <c r="J24" s="70">
        <v>650</v>
      </c>
      <c r="K24" s="73">
        <f t="shared" si="3"/>
        <v>5469.1</v>
      </c>
      <c r="L24" s="74">
        <f t="shared" si="4"/>
        <v>15245.9</v>
      </c>
      <c r="M24" s="75">
        <f t="shared" si="5"/>
        <v>-0.49180333333333337</v>
      </c>
    </row>
    <row r="25" spans="1:13" ht="18">
      <c r="A25" s="69">
        <v>31000</v>
      </c>
      <c r="B25" s="70">
        <f>A25*1!$G$3</f>
        <v>6200</v>
      </c>
      <c r="C25" s="70">
        <f>A25*1!$H$3</f>
        <v>2154.5</v>
      </c>
      <c r="D25" s="70">
        <f>A25*1!$J$3</f>
        <v>1240</v>
      </c>
      <c r="E25" s="71">
        <f t="shared" si="0"/>
        <v>9594.5</v>
      </c>
      <c r="F25" s="72">
        <f t="shared" si="1"/>
        <v>21405.5</v>
      </c>
      <c r="G25" s="70">
        <f>1!$A$6*1!$B$6+1405.5*1!$B$7</f>
        <v>4807.595</v>
      </c>
      <c r="H25" s="70">
        <f t="shared" si="2"/>
        <v>4807.595</v>
      </c>
      <c r="I25" s="76">
        <f>1!$K$10+(F25-12000-8000)*5%</f>
        <v>246.275</v>
      </c>
      <c r="J25" s="70">
        <v>650</v>
      </c>
      <c r="K25" s="73">
        <f t="shared" si="3"/>
        <v>5703.87</v>
      </c>
      <c r="L25" s="74">
        <f t="shared" si="4"/>
        <v>15701.63</v>
      </c>
      <c r="M25" s="75">
        <f t="shared" si="5"/>
        <v>-0.49349580645161295</v>
      </c>
    </row>
    <row r="26" spans="1:13" ht="18">
      <c r="A26" s="69">
        <v>32000</v>
      </c>
      <c r="B26" s="70">
        <f>A26*1!$G$3</f>
        <v>6400</v>
      </c>
      <c r="C26" s="70">
        <f>A26*1!$H$3</f>
        <v>2224</v>
      </c>
      <c r="D26" s="70">
        <f>A26*1!$J$3</f>
        <v>1280</v>
      </c>
      <c r="E26" s="71">
        <f t="shared" si="0"/>
        <v>9904</v>
      </c>
      <c r="F26" s="72">
        <f t="shared" si="1"/>
        <v>22096</v>
      </c>
      <c r="G26" s="70">
        <f>1!$A$6*1!$B$6+2096*1!$B$7</f>
        <v>5007.84</v>
      </c>
      <c r="H26" s="70">
        <f t="shared" si="2"/>
        <v>5007.84</v>
      </c>
      <c r="I26" s="76">
        <f>1!$K$10+(F26-12000-8000)*5%</f>
        <v>280.8</v>
      </c>
      <c r="J26" s="70">
        <v>650</v>
      </c>
      <c r="K26" s="73">
        <f t="shared" si="3"/>
        <v>5938.64</v>
      </c>
      <c r="L26" s="74">
        <f t="shared" si="4"/>
        <v>16157.36</v>
      </c>
      <c r="M26" s="75">
        <f t="shared" si="5"/>
        <v>-0.4950825</v>
      </c>
    </row>
    <row r="27" spans="1:13" ht="18">
      <c r="A27" s="69">
        <v>33000</v>
      </c>
      <c r="B27" s="70">
        <f>A27*1!$G$3</f>
        <v>6600</v>
      </c>
      <c r="C27" s="70">
        <f>A27*1!$H$3</f>
        <v>2293.5</v>
      </c>
      <c r="D27" s="70">
        <f>A27*1!$J$3</f>
        <v>1320</v>
      </c>
      <c r="E27" s="71">
        <f t="shared" si="0"/>
        <v>10213.5</v>
      </c>
      <c r="F27" s="72">
        <f t="shared" si="1"/>
        <v>22786.5</v>
      </c>
      <c r="G27" s="70">
        <f>1!$A$6*1!$B$6+2786.5*1!$B$7</f>
        <v>5208.085</v>
      </c>
      <c r="H27" s="70">
        <f t="shared" si="2"/>
        <v>5208.085</v>
      </c>
      <c r="I27" s="76">
        <f>1!$K$10+(F27-12000-8000)*5%</f>
        <v>315.32500000000005</v>
      </c>
      <c r="J27" s="70">
        <v>650</v>
      </c>
      <c r="K27" s="73">
        <f t="shared" si="3"/>
        <v>6173.41</v>
      </c>
      <c r="L27" s="74">
        <f t="shared" si="4"/>
        <v>16613.09</v>
      </c>
      <c r="M27" s="75">
        <f t="shared" si="5"/>
        <v>-0.49657303030303035</v>
      </c>
    </row>
    <row r="28" spans="1:13" ht="18">
      <c r="A28" s="69">
        <v>34000</v>
      </c>
      <c r="B28" s="70">
        <f>A28*1!$G$3</f>
        <v>6800</v>
      </c>
      <c r="C28" s="70">
        <f>A28*1!$H$3</f>
        <v>2363</v>
      </c>
      <c r="D28" s="70">
        <f>A28*1!$J$3</f>
        <v>1360</v>
      </c>
      <c r="E28" s="71">
        <f t="shared" si="0"/>
        <v>10523</v>
      </c>
      <c r="F28" s="72">
        <f t="shared" si="1"/>
        <v>23477</v>
      </c>
      <c r="G28" s="70">
        <f>1!$A$6*1!$B$6+3477*1!$B$7</f>
        <v>5408.33</v>
      </c>
      <c r="H28" s="70">
        <f t="shared" si="2"/>
        <v>5408.33</v>
      </c>
      <c r="I28" s="76">
        <f>1!$K$10+(F28-12000-8000)*5%</f>
        <v>349.85</v>
      </c>
      <c r="J28" s="70">
        <v>650</v>
      </c>
      <c r="K28" s="73">
        <f t="shared" si="3"/>
        <v>6408.18</v>
      </c>
      <c r="L28" s="74">
        <f t="shared" si="4"/>
        <v>17068.82</v>
      </c>
      <c r="M28" s="75">
        <f t="shared" si="5"/>
        <v>-0.4979758823529412</v>
      </c>
    </row>
    <row r="29" spans="1:13" ht="18">
      <c r="A29" s="69">
        <v>35000</v>
      </c>
      <c r="B29" s="70">
        <f>A29*1!$G$3</f>
        <v>7000</v>
      </c>
      <c r="C29" s="70">
        <f>A29*1!$H$3</f>
        <v>2432.5</v>
      </c>
      <c r="D29" s="70">
        <f>A29*1!$J$3</f>
        <v>1400</v>
      </c>
      <c r="E29" s="71">
        <f t="shared" si="0"/>
        <v>10832.5</v>
      </c>
      <c r="F29" s="72">
        <f t="shared" si="1"/>
        <v>24167.5</v>
      </c>
      <c r="G29" s="70">
        <f>1!$A$6*1!$B$6+4167.5*1!$B$7</f>
        <v>5608.575</v>
      </c>
      <c r="H29" s="70">
        <f t="shared" si="2"/>
        <v>5608.575</v>
      </c>
      <c r="I29" s="76">
        <f>1!$K$10+(F29-12000-8000)*5%</f>
        <v>384.375</v>
      </c>
      <c r="J29" s="70">
        <v>650</v>
      </c>
      <c r="K29" s="73">
        <f t="shared" si="3"/>
        <v>6642.95</v>
      </c>
      <c r="L29" s="74">
        <f t="shared" si="4"/>
        <v>17524.55</v>
      </c>
      <c r="M29" s="75">
        <f t="shared" si="5"/>
        <v>-0.4992985714285715</v>
      </c>
    </row>
    <row r="30" spans="1:13" ht="18">
      <c r="A30" s="69">
        <v>36000</v>
      </c>
      <c r="B30" s="70">
        <f>A30*1!$G$3</f>
        <v>7200</v>
      </c>
      <c r="C30" s="70">
        <f>A30*1!$H$3</f>
        <v>2502</v>
      </c>
      <c r="D30" s="70">
        <f>A30*1!$J$3</f>
        <v>1440</v>
      </c>
      <c r="E30" s="71">
        <f t="shared" si="0"/>
        <v>11142</v>
      </c>
      <c r="F30" s="72">
        <f t="shared" si="1"/>
        <v>24858</v>
      </c>
      <c r="G30" s="70">
        <f>1!$A$6*1!$B$6+4858*1!$B$7</f>
        <v>5808.82</v>
      </c>
      <c r="H30" s="70">
        <f t="shared" si="2"/>
        <v>5808.82</v>
      </c>
      <c r="I30" s="76">
        <f>1!$K$10+(F30-12000-8000)*5%</f>
        <v>418.9</v>
      </c>
      <c r="J30" s="70">
        <v>650</v>
      </c>
      <c r="K30" s="73">
        <f t="shared" si="3"/>
        <v>6877.719999999999</v>
      </c>
      <c r="L30" s="74">
        <f t="shared" si="4"/>
        <v>17980.28</v>
      </c>
      <c r="M30" s="75">
        <f t="shared" si="5"/>
        <v>-0.5005477777777778</v>
      </c>
    </row>
    <row r="31" spans="1:13" ht="18">
      <c r="A31" s="69">
        <v>37000</v>
      </c>
      <c r="B31" s="70">
        <f>A31*1!$G$3</f>
        <v>7400</v>
      </c>
      <c r="C31" s="70">
        <f>A31*1!$H$3</f>
        <v>2571.5000000000005</v>
      </c>
      <c r="D31" s="70">
        <f>A31*1!$J$3</f>
        <v>1480</v>
      </c>
      <c r="E31" s="71">
        <f t="shared" si="0"/>
        <v>11451.5</v>
      </c>
      <c r="F31" s="72">
        <f t="shared" si="1"/>
        <v>25548.5</v>
      </c>
      <c r="G31" s="70">
        <f>1!$A$6*1!$B$6+5548.5*1!$B$7</f>
        <v>6009.065</v>
      </c>
      <c r="H31" s="70">
        <f t="shared" si="2"/>
        <v>6009.065</v>
      </c>
      <c r="I31" s="76">
        <f>1!$K$10+(F31-12000-8000)*5%</f>
        <v>453.425</v>
      </c>
      <c r="J31" s="70">
        <v>650</v>
      </c>
      <c r="K31" s="73">
        <f t="shared" si="3"/>
        <v>7112.49</v>
      </c>
      <c r="L31" s="74">
        <f t="shared" si="4"/>
        <v>18436.010000000002</v>
      </c>
      <c r="M31" s="75">
        <f t="shared" si="5"/>
        <v>-0.5017294594594595</v>
      </c>
    </row>
    <row r="32" spans="1:13" ht="18">
      <c r="A32" s="69">
        <v>38000</v>
      </c>
      <c r="B32" s="70">
        <f>A32*1!$G$3</f>
        <v>7600</v>
      </c>
      <c r="C32" s="70">
        <f>A32*1!$H$3</f>
        <v>2641.0000000000005</v>
      </c>
      <c r="D32" s="70">
        <f>A32*1!$J$3</f>
        <v>1520</v>
      </c>
      <c r="E32" s="71">
        <f t="shared" si="0"/>
        <v>11761</v>
      </c>
      <c r="F32" s="72">
        <f t="shared" si="1"/>
        <v>26239</v>
      </c>
      <c r="G32" s="70">
        <f>1!$A$6*1!$B$6+6239*1!$B$7</f>
        <v>6209.3099999999995</v>
      </c>
      <c r="H32" s="70">
        <f t="shared" si="2"/>
        <v>6209.3099999999995</v>
      </c>
      <c r="I32" s="76">
        <f>1!$K$10+(F32-12000-8000)*5%</f>
        <v>487.95000000000005</v>
      </c>
      <c r="J32" s="70">
        <v>650</v>
      </c>
      <c r="K32" s="73">
        <f t="shared" si="3"/>
        <v>7347.259999999999</v>
      </c>
      <c r="L32" s="74">
        <f t="shared" si="4"/>
        <v>18891.74</v>
      </c>
      <c r="M32" s="75">
        <f t="shared" si="5"/>
        <v>-0.502848947368421</v>
      </c>
    </row>
    <row r="33" spans="1:13" ht="18">
      <c r="A33" s="69">
        <v>39000</v>
      </c>
      <c r="B33" s="70">
        <f>A33*1!$G$3</f>
        <v>7800</v>
      </c>
      <c r="C33" s="70">
        <f>A33*1!$H$3</f>
        <v>2710.5000000000005</v>
      </c>
      <c r="D33" s="70">
        <f>A33*1!$J$3</f>
        <v>1560</v>
      </c>
      <c r="E33" s="71">
        <f t="shared" si="0"/>
        <v>12070.5</v>
      </c>
      <c r="F33" s="72">
        <f t="shared" si="1"/>
        <v>26929.5</v>
      </c>
      <c r="G33" s="70">
        <f>1!$A$6*1!$B$6+6929.5*1!$B$7</f>
        <v>6409.555</v>
      </c>
      <c r="H33" s="70">
        <f t="shared" si="2"/>
        <v>6409.555</v>
      </c>
      <c r="I33" s="76">
        <f>1!$K$10+(F33-12000-8000)*5%</f>
        <v>522.475</v>
      </c>
      <c r="J33" s="70">
        <v>650</v>
      </c>
      <c r="K33" s="73">
        <f t="shared" si="3"/>
        <v>7582.030000000001</v>
      </c>
      <c r="L33" s="74">
        <f t="shared" si="4"/>
        <v>19347.47</v>
      </c>
      <c r="M33" s="75">
        <f t="shared" si="5"/>
        <v>-0.5039110256410256</v>
      </c>
    </row>
    <row r="34" spans="1:13" ht="18">
      <c r="A34" s="69">
        <v>40000</v>
      </c>
      <c r="B34" s="70">
        <f>A34*1!$G$3</f>
        <v>8000</v>
      </c>
      <c r="C34" s="70">
        <f>A34*1!$H$3</f>
        <v>2780.0000000000005</v>
      </c>
      <c r="D34" s="70">
        <f>A34*1!$J$3</f>
        <v>1600</v>
      </c>
      <c r="E34" s="71">
        <f t="shared" si="0"/>
        <v>12380</v>
      </c>
      <c r="F34" s="72">
        <f t="shared" si="1"/>
        <v>27620</v>
      </c>
      <c r="G34" s="70">
        <f>1!$A$6*1!$B$6+7620*1!$B$7</f>
        <v>6609.799999999999</v>
      </c>
      <c r="H34" s="70">
        <f t="shared" si="2"/>
        <v>6609.799999999999</v>
      </c>
      <c r="I34" s="76">
        <f>1!$K$10+(F34-12000-8000)*5%</f>
        <v>557</v>
      </c>
      <c r="J34" s="70">
        <v>650</v>
      </c>
      <c r="K34" s="73">
        <f t="shared" si="3"/>
        <v>7816.799999999999</v>
      </c>
      <c r="L34" s="74">
        <f t="shared" si="4"/>
        <v>19803.2</v>
      </c>
      <c r="M34" s="75">
        <f t="shared" si="5"/>
        <v>-0.50492</v>
      </c>
    </row>
    <row r="35" spans="1:13" ht="18">
      <c r="A35" s="69">
        <v>41000</v>
      </c>
      <c r="B35" s="70">
        <f>A35*1!$G$3</f>
        <v>8200</v>
      </c>
      <c r="C35" s="70">
        <f>A35*1!$H$3</f>
        <v>2849.5000000000005</v>
      </c>
      <c r="D35" s="70">
        <f>A35*1!$J$3</f>
        <v>1640</v>
      </c>
      <c r="E35" s="71">
        <f t="shared" si="0"/>
        <v>12689.5</v>
      </c>
      <c r="F35" s="72">
        <f t="shared" si="1"/>
        <v>28310.5</v>
      </c>
      <c r="G35" s="70">
        <f>1!$A$6*1!$B$6+8310.5*1!$B$7</f>
        <v>6810.045</v>
      </c>
      <c r="H35" s="70">
        <f t="shared" si="2"/>
        <v>6810.045</v>
      </c>
      <c r="I35" s="76">
        <f>1!$K$10+(F35-12000-8000)*5%</f>
        <v>591.5250000000001</v>
      </c>
      <c r="J35" s="70">
        <v>650</v>
      </c>
      <c r="K35" s="73">
        <f t="shared" si="3"/>
        <v>8051.57</v>
      </c>
      <c r="L35" s="74">
        <f t="shared" si="4"/>
        <v>20258.93</v>
      </c>
      <c r="M35" s="75">
        <f t="shared" si="5"/>
        <v>-0.505879756097561</v>
      </c>
    </row>
    <row r="36" spans="1:13" ht="18">
      <c r="A36" s="69">
        <v>42000</v>
      </c>
      <c r="B36" s="70">
        <f>A36*1!$G$3</f>
        <v>8400</v>
      </c>
      <c r="C36" s="70">
        <f>A36*1!$H$3</f>
        <v>2919.0000000000005</v>
      </c>
      <c r="D36" s="70">
        <f>A36*1!$J$3</f>
        <v>1680</v>
      </c>
      <c r="E36" s="71">
        <f t="shared" si="0"/>
        <v>12999</v>
      </c>
      <c r="F36" s="72">
        <f t="shared" si="1"/>
        <v>29001</v>
      </c>
      <c r="G36" s="70">
        <f>1!$A$6*1!$B$6+9001*1!$B$7</f>
        <v>7010.29</v>
      </c>
      <c r="H36" s="70">
        <f t="shared" si="2"/>
        <v>7010.29</v>
      </c>
      <c r="I36" s="76">
        <f>1!$K$10+(F36-12000-8000)*5%</f>
        <v>626.05</v>
      </c>
      <c r="J36" s="70">
        <v>650</v>
      </c>
      <c r="K36" s="73">
        <f t="shared" si="3"/>
        <v>8286.34</v>
      </c>
      <c r="L36" s="74">
        <f aca="true" t="shared" si="6" ref="L36:L64">F36-G36-I36-J36</f>
        <v>20714.66</v>
      </c>
      <c r="M36" s="75">
        <f aca="true" t="shared" si="7" ref="M36:M64">L36/A36-1</f>
        <v>-0.5067938095238096</v>
      </c>
    </row>
    <row r="37" spans="1:13" ht="18">
      <c r="A37" s="69">
        <v>43000</v>
      </c>
      <c r="B37" s="70">
        <f>A37*1!$G$3</f>
        <v>8600</v>
      </c>
      <c r="C37" s="70">
        <f>A37*1!$H$3</f>
        <v>2988.5000000000005</v>
      </c>
      <c r="D37" s="70">
        <f>A37*1!$J$3</f>
        <v>1720</v>
      </c>
      <c r="E37" s="71">
        <f t="shared" si="0"/>
        <v>13308.5</v>
      </c>
      <c r="F37" s="72">
        <f t="shared" si="1"/>
        <v>29691.5</v>
      </c>
      <c r="G37" s="70">
        <f>1!$A$6*1!$B$6+9691.5*1!$B$7</f>
        <v>7210.535</v>
      </c>
      <c r="H37" s="70">
        <f t="shared" si="2"/>
        <v>7210.535</v>
      </c>
      <c r="I37" s="76">
        <f>1!$K$10+(F37-12000-8000)*5%</f>
        <v>660.575</v>
      </c>
      <c r="J37" s="70">
        <v>650</v>
      </c>
      <c r="K37" s="73">
        <f t="shared" si="3"/>
        <v>8521.11</v>
      </c>
      <c r="L37" s="74">
        <f t="shared" si="6"/>
        <v>21170.39</v>
      </c>
      <c r="M37" s="75">
        <f t="shared" si="7"/>
        <v>-0.5076653488372094</v>
      </c>
    </row>
    <row r="38" spans="1:13" ht="18">
      <c r="A38" s="69">
        <v>44000</v>
      </c>
      <c r="B38" s="70">
        <f>A38*1!$G$3</f>
        <v>8800</v>
      </c>
      <c r="C38" s="70">
        <f>A38*1!$H$3</f>
        <v>3058.0000000000005</v>
      </c>
      <c r="D38" s="70">
        <f>A38*1!$J$3</f>
        <v>1760</v>
      </c>
      <c r="E38" s="71">
        <f t="shared" si="0"/>
        <v>13618</v>
      </c>
      <c r="F38" s="72">
        <f t="shared" si="1"/>
        <v>30382</v>
      </c>
      <c r="G38" s="70">
        <f>1!$A$6*1!$B$6+10000*1!$B$7+382*1!$B$8</f>
        <v>7441.34</v>
      </c>
      <c r="H38" s="70">
        <f t="shared" si="2"/>
        <v>7441.34</v>
      </c>
      <c r="I38" s="76">
        <f>1!$K$11+(F38-12000-8000-10000)*6.5%</f>
        <v>700.83</v>
      </c>
      <c r="J38" s="70">
        <v>650</v>
      </c>
      <c r="K38" s="73">
        <f t="shared" si="3"/>
        <v>8792.17</v>
      </c>
      <c r="L38" s="74">
        <f t="shared" si="6"/>
        <v>21589.829999999998</v>
      </c>
      <c r="M38" s="75">
        <f t="shared" si="7"/>
        <v>-0.5093220454545455</v>
      </c>
    </row>
    <row r="39" spans="1:13" ht="18">
      <c r="A39" s="69">
        <v>45000</v>
      </c>
      <c r="B39" s="70">
        <f>A39*1!$G$3</f>
        <v>9000</v>
      </c>
      <c r="C39" s="70">
        <f>A39*1!$H$3</f>
        <v>3127.5000000000005</v>
      </c>
      <c r="D39" s="70">
        <f>A39*1!$J$3</f>
        <v>1800</v>
      </c>
      <c r="E39" s="71">
        <f t="shared" si="0"/>
        <v>13927.5</v>
      </c>
      <c r="F39" s="72">
        <f t="shared" si="1"/>
        <v>31072.5</v>
      </c>
      <c r="G39" s="70">
        <f>1!$A$6*1!$B$6+10000*1!$B$7+1072.5*1!$B$8</f>
        <v>7696.825</v>
      </c>
      <c r="H39" s="70">
        <f t="shared" si="2"/>
        <v>7696.825</v>
      </c>
      <c r="I39" s="76">
        <f>1!$K$11+(F39-12000-8000-10000)*6.5%</f>
        <v>745.7125</v>
      </c>
      <c r="J39" s="70">
        <v>650</v>
      </c>
      <c r="K39" s="73">
        <f t="shared" si="3"/>
        <v>9092.5375</v>
      </c>
      <c r="L39" s="74">
        <f t="shared" si="6"/>
        <v>21979.962499999998</v>
      </c>
      <c r="M39" s="75">
        <f t="shared" si="7"/>
        <v>-0.511556388888889</v>
      </c>
    </row>
    <row r="40" spans="1:13" ht="18">
      <c r="A40" s="69">
        <v>46000</v>
      </c>
      <c r="B40" s="70">
        <f>A40*1!$G$3</f>
        <v>9200</v>
      </c>
      <c r="C40" s="70">
        <f>A40*1!$H$3</f>
        <v>3197.0000000000005</v>
      </c>
      <c r="D40" s="70">
        <f>A40*1!$J$3</f>
        <v>1840</v>
      </c>
      <c r="E40" s="71">
        <f t="shared" si="0"/>
        <v>14237</v>
      </c>
      <c r="F40" s="72">
        <f t="shared" si="1"/>
        <v>31763</v>
      </c>
      <c r="G40" s="70">
        <f>1!$A$6*1!$B$6+10000*1!$B$7+1763*1!$B$8</f>
        <v>7952.3099999999995</v>
      </c>
      <c r="H40" s="70">
        <f t="shared" si="2"/>
        <v>7952.3099999999995</v>
      </c>
      <c r="I40" s="76">
        <f>1!$K$11+(F40-12000-8000-10000)*6.5%</f>
        <v>790.595</v>
      </c>
      <c r="J40" s="70">
        <v>650</v>
      </c>
      <c r="K40" s="73">
        <f t="shared" si="3"/>
        <v>9392.904999999999</v>
      </c>
      <c r="L40" s="74">
        <f t="shared" si="6"/>
        <v>22370.095</v>
      </c>
      <c r="M40" s="75">
        <f t="shared" si="7"/>
        <v>-0.5136935869565218</v>
      </c>
    </row>
    <row r="41" spans="1:13" ht="18">
      <c r="A41" s="69">
        <v>47000</v>
      </c>
      <c r="B41" s="70">
        <f>A41*1!$G$3</f>
        <v>9400</v>
      </c>
      <c r="C41" s="70">
        <f>A41*1!$H$3</f>
        <v>3266.5000000000005</v>
      </c>
      <c r="D41" s="70">
        <f>A41*1!$J$3</f>
        <v>1880</v>
      </c>
      <c r="E41" s="71">
        <f t="shared" si="0"/>
        <v>14546.5</v>
      </c>
      <c r="F41" s="72">
        <f t="shared" si="1"/>
        <v>32453.5</v>
      </c>
      <c r="G41" s="70">
        <f>1!$A$6*1!$B$6+10000*1!$B$7+2453.5*1!$B$8</f>
        <v>8207.795</v>
      </c>
      <c r="H41" s="70">
        <f t="shared" si="2"/>
        <v>8207.795</v>
      </c>
      <c r="I41" s="76">
        <f>1!$K$11+(F41-12000-8000-10000)*6.5%</f>
        <v>835.4775</v>
      </c>
      <c r="J41" s="70">
        <v>650</v>
      </c>
      <c r="K41" s="73">
        <f t="shared" si="3"/>
        <v>9693.2725</v>
      </c>
      <c r="L41" s="74">
        <f t="shared" si="6"/>
        <v>22760.2275</v>
      </c>
      <c r="M41" s="75">
        <f t="shared" si="7"/>
        <v>-0.5157398404255319</v>
      </c>
    </row>
    <row r="42" spans="1:13" ht="18">
      <c r="A42" s="69">
        <v>48000</v>
      </c>
      <c r="B42" s="70">
        <f>A42*1!$G$3</f>
        <v>9600</v>
      </c>
      <c r="C42" s="70">
        <f>A42*1!$H$3</f>
        <v>3336.0000000000005</v>
      </c>
      <c r="D42" s="70">
        <f>A42*1!$J$3</f>
        <v>1920</v>
      </c>
      <c r="E42" s="71">
        <f t="shared" si="0"/>
        <v>14856</v>
      </c>
      <c r="F42" s="72">
        <f t="shared" si="1"/>
        <v>33144</v>
      </c>
      <c r="G42" s="70">
        <f>1!$A$6*1!$B$6+10000*1!$B$7+3144*1!$B$8</f>
        <v>8463.28</v>
      </c>
      <c r="H42" s="70">
        <f t="shared" si="2"/>
        <v>8463.28</v>
      </c>
      <c r="I42" s="76">
        <f>1!$K$11+(F42-12000-8000-10000)*6.5%</f>
        <v>880.36</v>
      </c>
      <c r="J42" s="70">
        <v>650</v>
      </c>
      <c r="K42" s="73">
        <f t="shared" si="3"/>
        <v>9993.640000000001</v>
      </c>
      <c r="L42" s="74">
        <f t="shared" si="6"/>
        <v>23150.36</v>
      </c>
      <c r="M42" s="75">
        <f t="shared" si="7"/>
        <v>-0.5177008333333333</v>
      </c>
    </row>
    <row r="43" spans="1:13" ht="18">
      <c r="A43" s="69">
        <v>49000</v>
      </c>
      <c r="B43" s="70">
        <f>A43*1!$G$3</f>
        <v>9800</v>
      </c>
      <c r="C43" s="70">
        <f>A43*1!$H$3</f>
        <v>3405.5000000000005</v>
      </c>
      <c r="D43" s="70">
        <f>A43*1!$J$3</f>
        <v>1960</v>
      </c>
      <c r="E43" s="71">
        <f t="shared" si="0"/>
        <v>15165.5</v>
      </c>
      <c r="F43" s="72">
        <f t="shared" si="1"/>
        <v>33834.5</v>
      </c>
      <c r="G43" s="70">
        <f>1!$A$6*1!$B$6+10000*1!$B$7+3834.5*1!$B$8</f>
        <v>8718.765</v>
      </c>
      <c r="H43" s="70">
        <f t="shared" si="2"/>
        <v>8718.765</v>
      </c>
      <c r="I43" s="76">
        <f>1!$K$11+(F43-12000-8000-10000)*6.5%</f>
        <v>925.2425000000001</v>
      </c>
      <c r="J43" s="70">
        <v>650</v>
      </c>
      <c r="K43" s="73">
        <f t="shared" si="3"/>
        <v>10294.0075</v>
      </c>
      <c r="L43" s="74">
        <f t="shared" si="6"/>
        <v>23540.4925</v>
      </c>
      <c r="M43" s="75">
        <f t="shared" si="7"/>
        <v>-0.5195817857142857</v>
      </c>
    </row>
    <row r="44" spans="1:13" ht="18">
      <c r="A44" s="69">
        <v>50000</v>
      </c>
      <c r="B44" s="70">
        <f>A44*1!$G$3</f>
        <v>10000</v>
      </c>
      <c r="C44" s="70">
        <f>A44*1!$H$3</f>
        <v>3475.0000000000005</v>
      </c>
      <c r="D44" s="70">
        <f>A44*1!$J$3</f>
        <v>2000</v>
      </c>
      <c r="E44" s="71">
        <f t="shared" si="0"/>
        <v>15475</v>
      </c>
      <c r="F44" s="72">
        <f t="shared" si="1"/>
        <v>34525</v>
      </c>
      <c r="G44" s="70">
        <f>1!$A$6*1!$B$6+10000*1!$B$7+4525*1!$B$8</f>
        <v>8974.25</v>
      </c>
      <c r="H44" s="70">
        <f t="shared" si="2"/>
        <v>8974.25</v>
      </c>
      <c r="I44" s="76">
        <f>1!$K$11+(F44-12000-8000-10000)*6.5%</f>
        <v>970.125</v>
      </c>
      <c r="J44" s="70">
        <v>650</v>
      </c>
      <c r="K44" s="73">
        <f t="shared" si="3"/>
        <v>10594.375</v>
      </c>
      <c r="L44" s="74">
        <f t="shared" si="6"/>
        <v>23930.625</v>
      </c>
      <c r="M44" s="75">
        <f t="shared" si="7"/>
        <v>-0.5213875</v>
      </c>
    </row>
    <row r="45" spans="1:13" ht="18">
      <c r="A45" s="69">
        <v>51000</v>
      </c>
      <c r="B45" s="70">
        <f>A45*1!$G$3</f>
        <v>10200</v>
      </c>
      <c r="C45" s="70">
        <f>A45*1!$H$3</f>
        <v>3544.5000000000005</v>
      </c>
      <c r="D45" s="70">
        <f>A45*1!$J$3</f>
        <v>2040</v>
      </c>
      <c r="E45" s="71">
        <f t="shared" si="0"/>
        <v>15784.5</v>
      </c>
      <c r="F45" s="72">
        <f t="shared" si="1"/>
        <v>35215.5</v>
      </c>
      <c r="G45" s="70">
        <f>1!$A$6*1!$B$6+10000*1!$B$7+5215.5*1!$B$8</f>
        <v>9229.735</v>
      </c>
      <c r="H45" s="70">
        <f t="shared" si="2"/>
        <v>9229.735</v>
      </c>
      <c r="I45" s="76">
        <f>1!$K$11+(F45-12000-8000-10000)*6.5%</f>
        <v>1015.0074999999999</v>
      </c>
      <c r="J45" s="70">
        <v>650</v>
      </c>
      <c r="K45" s="73">
        <f t="shared" si="3"/>
        <v>10894.7425</v>
      </c>
      <c r="L45" s="74">
        <f t="shared" si="6"/>
        <v>24320.7575</v>
      </c>
      <c r="M45" s="75">
        <f t="shared" si="7"/>
        <v>-0.5231224019607843</v>
      </c>
    </row>
    <row r="46" spans="1:13" ht="18">
      <c r="A46" s="69">
        <v>52000</v>
      </c>
      <c r="B46" s="70">
        <f>A46*1!$G$3</f>
        <v>10400</v>
      </c>
      <c r="C46" s="70">
        <f>A46*1!$H$3</f>
        <v>3614.0000000000005</v>
      </c>
      <c r="D46" s="70">
        <f>A46*1!$J$3</f>
        <v>2080</v>
      </c>
      <c r="E46" s="71">
        <f t="shared" si="0"/>
        <v>16094</v>
      </c>
      <c r="F46" s="72">
        <f t="shared" si="1"/>
        <v>35906</v>
      </c>
      <c r="G46" s="70">
        <f>1!$A$6*1!$B$6+10000*1!$B$7+5906*1!$B$8</f>
        <v>9485.22</v>
      </c>
      <c r="H46" s="70">
        <f t="shared" si="2"/>
        <v>9485.22</v>
      </c>
      <c r="I46" s="76">
        <f>1!$K$11+(F46-12000-8000-10000)*6.5%</f>
        <v>1059.8899999999999</v>
      </c>
      <c r="J46" s="70">
        <v>650</v>
      </c>
      <c r="K46" s="73">
        <f t="shared" si="3"/>
        <v>11195.109999999999</v>
      </c>
      <c r="L46" s="74">
        <f t="shared" si="6"/>
        <v>24710.89</v>
      </c>
      <c r="M46" s="75">
        <f t="shared" si="7"/>
        <v>-0.524790576923077</v>
      </c>
    </row>
    <row r="47" spans="1:13" ht="18">
      <c r="A47" s="69">
        <v>53000</v>
      </c>
      <c r="B47" s="70">
        <f>A47*1!$G$3</f>
        <v>10600</v>
      </c>
      <c r="C47" s="70">
        <f>A47*1!$H$3</f>
        <v>3683.5000000000005</v>
      </c>
      <c r="D47" s="70">
        <f>A47*1!$J$3</f>
        <v>2120</v>
      </c>
      <c r="E47" s="71">
        <f t="shared" si="0"/>
        <v>16403.5</v>
      </c>
      <c r="F47" s="72">
        <f t="shared" si="1"/>
        <v>36596.5</v>
      </c>
      <c r="G47" s="70">
        <f>1!$A$6*1!$B$6+10000*1!$B$7+6596.5*1!$B$8</f>
        <v>9740.705</v>
      </c>
      <c r="H47" s="70">
        <f t="shared" si="2"/>
        <v>9740.705</v>
      </c>
      <c r="I47" s="76">
        <f>1!$K$11+(F47-12000-8000-10000)*6.5%</f>
        <v>1104.7725</v>
      </c>
      <c r="J47" s="70">
        <v>650</v>
      </c>
      <c r="K47" s="73">
        <f t="shared" si="3"/>
        <v>11495.4775</v>
      </c>
      <c r="L47" s="74">
        <f t="shared" si="6"/>
        <v>25101.0225</v>
      </c>
      <c r="M47" s="75">
        <f t="shared" si="7"/>
        <v>-0.5263958018867925</v>
      </c>
    </row>
    <row r="48" spans="1:13" ht="18">
      <c r="A48" s="69">
        <v>54000</v>
      </c>
      <c r="B48" s="70">
        <f>A48*1!$G$3</f>
        <v>10800</v>
      </c>
      <c r="C48" s="70">
        <f>A48*1!$H$3</f>
        <v>3753.0000000000005</v>
      </c>
      <c r="D48" s="70">
        <f>A48*1!$J$3</f>
        <v>2160</v>
      </c>
      <c r="E48" s="71">
        <f t="shared" si="0"/>
        <v>16713</v>
      </c>
      <c r="F48" s="72">
        <f t="shared" si="1"/>
        <v>37287</v>
      </c>
      <c r="G48" s="70">
        <f>1!$A$6*1!$B$6+10000*1!$B$7+7287*1!$B$8</f>
        <v>9996.19</v>
      </c>
      <c r="H48" s="70">
        <f t="shared" si="2"/>
        <v>9996.19</v>
      </c>
      <c r="I48" s="76">
        <f>1!$K$11+(F48-12000-8000-10000)*6.5%</f>
        <v>1149.655</v>
      </c>
      <c r="J48" s="70">
        <v>650</v>
      </c>
      <c r="K48" s="73">
        <f t="shared" si="3"/>
        <v>11795.845000000001</v>
      </c>
      <c r="L48" s="74">
        <f t="shared" si="6"/>
        <v>25491.155</v>
      </c>
      <c r="M48" s="75">
        <f t="shared" si="7"/>
        <v>-0.527941574074074</v>
      </c>
    </row>
    <row r="49" spans="1:13" ht="18">
      <c r="A49" s="69">
        <v>55000</v>
      </c>
      <c r="B49" s="70">
        <f>A49*1!$G$3</f>
        <v>11000</v>
      </c>
      <c r="C49" s="70">
        <f>A49*1!$H$3</f>
        <v>3822.5000000000005</v>
      </c>
      <c r="D49" s="70">
        <f>A49*1!$J$3</f>
        <v>2200</v>
      </c>
      <c r="E49" s="71">
        <f t="shared" si="0"/>
        <v>17022.5</v>
      </c>
      <c r="F49" s="72">
        <f t="shared" si="1"/>
        <v>37977.5</v>
      </c>
      <c r="G49" s="70">
        <f>1!$A$6*1!$B$6+10000*1!$B$7+7977.5*1!$B$8</f>
        <v>10251.675</v>
      </c>
      <c r="H49" s="70">
        <f t="shared" si="2"/>
        <v>10251.675</v>
      </c>
      <c r="I49" s="76">
        <f>1!$K$11+(F49-12000-8000-10000)*6.5%</f>
        <v>1194.5375</v>
      </c>
      <c r="J49" s="70">
        <v>650</v>
      </c>
      <c r="K49" s="73">
        <f t="shared" si="3"/>
        <v>12096.2125</v>
      </c>
      <c r="L49" s="74">
        <f t="shared" si="6"/>
        <v>25881.287500000002</v>
      </c>
      <c r="M49" s="75">
        <f t="shared" si="7"/>
        <v>-0.5294311363636364</v>
      </c>
    </row>
    <row r="50" spans="1:13" ht="18">
      <c r="A50" s="69">
        <v>56000</v>
      </c>
      <c r="B50" s="70">
        <f>A50*1!$G$3</f>
        <v>11200</v>
      </c>
      <c r="C50" s="70">
        <f>A50*1!$H$3</f>
        <v>3892.0000000000005</v>
      </c>
      <c r="D50" s="70">
        <f>A50*1!$J$3</f>
        <v>2240</v>
      </c>
      <c r="E50" s="71">
        <f t="shared" si="0"/>
        <v>17332</v>
      </c>
      <c r="F50" s="72">
        <f t="shared" si="1"/>
        <v>38668</v>
      </c>
      <c r="G50" s="70">
        <f>1!$A$6*1!$B$6+10000*1!$B$7+8668*1!$B$8</f>
        <v>10507.16</v>
      </c>
      <c r="H50" s="70">
        <f t="shared" si="2"/>
        <v>10507.16</v>
      </c>
      <c r="I50" s="76">
        <f>1!$K$11+(F50-12000-8000-10000)*6.5%</f>
        <v>1239.42</v>
      </c>
      <c r="J50" s="70">
        <v>650</v>
      </c>
      <c r="K50" s="73">
        <f t="shared" si="3"/>
        <v>12396.58</v>
      </c>
      <c r="L50" s="74">
        <f t="shared" si="6"/>
        <v>26271.42</v>
      </c>
      <c r="M50" s="75">
        <f t="shared" si="7"/>
        <v>-0.5308675</v>
      </c>
    </row>
    <row r="51" spans="1:13" ht="18">
      <c r="A51" s="69">
        <v>57000</v>
      </c>
      <c r="B51" s="70">
        <f>A51*1!$G$3</f>
        <v>11400</v>
      </c>
      <c r="C51" s="70">
        <f>A51*1!$H$3</f>
        <v>3961.5000000000005</v>
      </c>
      <c r="D51" s="70">
        <f>A51*1!$J$3</f>
        <v>2280</v>
      </c>
      <c r="E51" s="71">
        <f t="shared" si="0"/>
        <v>17641.5</v>
      </c>
      <c r="F51" s="72">
        <f t="shared" si="1"/>
        <v>39358.5</v>
      </c>
      <c r="G51" s="70">
        <f>1!$A$6*1!$B$6+10000*1!$B$7+9358.5*1!$B$8</f>
        <v>10762.645</v>
      </c>
      <c r="H51" s="70">
        <f t="shared" si="2"/>
        <v>10762.645</v>
      </c>
      <c r="I51" s="76">
        <f>1!$K$11+(F51-12000-8000-10000)*6.5%</f>
        <v>1284.3025</v>
      </c>
      <c r="J51" s="70">
        <v>650</v>
      </c>
      <c r="K51" s="73">
        <f t="shared" si="3"/>
        <v>12696.9475</v>
      </c>
      <c r="L51" s="74">
        <f t="shared" si="6"/>
        <v>26661.552499999998</v>
      </c>
      <c r="M51" s="75">
        <f t="shared" si="7"/>
        <v>-0.5322534649122808</v>
      </c>
    </row>
    <row r="52" spans="1:13" ht="18">
      <c r="A52" s="69">
        <v>58000</v>
      </c>
      <c r="B52" s="70">
        <f>A52*1!$G$3</f>
        <v>11600</v>
      </c>
      <c r="C52" s="70">
        <f>A52*1!$H$3</f>
        <v>4031.0000000000005</v>
      </c>
      <c r="D52" s="70">
        <f>A52*1!$J$3</f>
        <v>2320</v>
      </c>
      <c r="E52" s="71">
        <f t="shared" si="0"/>
        <v>17951</v>
      </c>
      <c r="F52" s="72">
        <f t="shared" si="1"/>
        <v>40049</v>
      </c>
      <c r="G52" s="70">
        <f>1!$E$8+49*1!$B$9</f>
        <v>11022.05</v>
      </c>
      <c r="H52" s="70">
        <f t="shared" si="2"/>
        <v>11022.05</v>
      </c>
      <c r="I52" s="76">
        <f>1!$K$12+(F52-12000-8000-10000-10000)*7.5%</f>
        <v>1329.675</v>
      </c>
      <c r="J52" s="70">
        <v>650</v>
      </c>
      <c r="K52" s="73">
        <f t="shared" si="3"/>
        <v>13001.724999999999</v>
      </c>
      <c r="L52" s="74">
        <f t="shared" si="6"/>
        <v>27047.275</v>
      </c>
      <c r="M52" s="75">
        <f t="shared" si="7"/>
        <v>-0.5336676724137931</v>
      </c>
    </row>
    <row r="53" spans="1:13" ht="18">
      <c r="A53" s="69">
        <v>59000</v>
      </c>
      <c r="B53" s="70">
        <f>A53*1!$G$3</f>
        <v>11800</v>
      </c>
      <c r="C53" s="70">
        <f>A53*1!$H$3</f>
        <v>4100.5</v>
      </c>
      <c r="D53" s="70">
        <f>A53*1!$J$3</f>
        <v>2360</v>
      </c>
      <c r="E53" s="71">
        <f t="shared" si="0"/>
        <v>18260.5</v>
      </c>
      <c r="F53" s="72">
        <f t="shared" si="1"/>
        <v>40739.5</v>
      </c>
      <c r="G53" s="70">
        <f>1!$E$8+739.5*1!$B$9</f>
        <v>11332.775</v>
      </c>
      <c r="H53" s="70">
        <f t="shared" si="2"/>
        <v>11332.775</v>
      </c>
      <c r="I53" s="76">
        <f>1!$K$12+(F53-12000-8000-10000-10000)*7.5%</f>
        <v>1381.4625</v>
      </c>
      <c r="J53" s="70">
        <v>650</v>
      </c>
      <c r="K53" s="73">
        <f t="shared" si="3"/>
        <v>13364.2375</v>
      </c>
      <c r="L53" s="74">
        <f t="shared" si="6"/>
        <v>27375.262499999997</v>
      </c>
      <c r="M53" s="75">
        <f t="shared" si="7"/>
        <v>-0.5360125</v>
      </c>
    </row>
    <row r="54" spans="1:13" ht="18">
      <c r="A54" s="69">
        <v>60000</v>
      </c>
      <c r="B54" s="70">
        <f>A54*1!$G$3</f>
        <v>12000</v>
      </c>
      <c r="C54" s="70">
        <f>A54*1!$H$3</f>
        <v>4170</v>
      </c>
      <c r="D54" s="70">
        <f>A54*1!$J$3</f>
        <v>2400</v>
      </c>
      <c r="E54" s="71">
        <f t="shared" si="0"/>
        <v>18570</v>
      </c>
      <c r="F54" s="72">
        <f t="shared" si="1"/>
        <v>41430</v>
      </c>
      <c r="G54" s="70">
        <f>1!$E$8+1430*1!$B$9</f>
        <v>11643.5</v>
      </c>
      <c r="H54" s="70">
        <f t="shared" si="2"/>
        <v>11643.5</v>
      </c>
      <c r="I54" s="76">
        <f>1!$K$12+(F54-12000-8000-10000-10000)*7.5%</f>
        <v>1433.25</v>
      </c>
      <c r="J54" s="70">
        <v>650</v>
      </c>
      <c r="K54" s="73">
        <f t="shared" si="3"/>
        <v>13726.75</v>
      </c>
      <c r="L54" s="74">
        <f t="shared" si="6"/>
        <v>27703.25</v>
      </c>
      <c r="M54" s="75">
        <f t="shared" si="7"/>
        <v>-0.5382791666666666</v>
      </c>
    </row>
    <row r="55" spans="1:13" ht="18">
      <c r="A55" s="69">
        <v>61000</v>
      </c>
      <c r="B55" s="70">
        <f>A55*1!$G$3</f>
        <v>12200</v>
      </c>
      <c r="C55" s="70">
        <f>A55*1!$H$3</f>
        <v>4239.5</v>
      </c>
      <c r="D55" s="70">
        <f>A55*1!$J$3</f>
        <v>2440</v>
      </c>
      <c r="E55" s="71">
        <f t="shared" si="0"/>
        <v>18879.5</v>
      </c>
      <c r="F55" s="72">
        <f t="shared" si="1"/>
        <v>42120.5</v>
      </c>
      <c r="G55" s="70">
        <f>1!$E$8+2120.5*1!$B$9</f>
        <v>11954.225</v>
      </c>
      <c r="H55" s="70">
        <f t="shared" si="2"/>
        <v>11954.225</v>
      </c>
      <c r="I55" s="76">
        <f>1!$K$12+(F55-12000-8000-10000-10000)*7.5%</f>
        <v>1485.0375</v>
      </c>
      <c r="J55" s="70">
        <v>650</v>
      </c>
      <c r="K55" s="73">
        <f t="shared" si="3"/>
        <v>14089.2625</v>
      </c>
      <c r="L55" s="74">
        <f t="shared" si="6"/>
        <v>28031.237500000003</v>
      </c>
      <c r="M55" s="75">
        <f t="shared" si="7"/>
        <v>-0.5404715163934426</v>
      </c>
    </row>
    <row r="56" spans="1:13" ht="18">
      <c r="A56" s="69">
        <v>62000</v>
      </c>
      <c r="B56" s="70">
        <f>A56*1!$G$3</f>
        <v>12400</v>
      </c>
      <c r="C56" s="70">
        <f>A56*1!$H$3</f>
        <v>4309</v>
      </c>
      <c r="D56" s="70">
        <f>A56*1!$J$3</f>
        <v>2480</v>
      </c>
      <c r="E56" s="71">
        <f t="shared" si="0"/>
        <v>19189</v>
      </c>
      <c r="F56" s="72">
        <f t="shared" si="1"/>
        <v>42811</v>
      </c>
      <c r="G56" s="70">
        <f>1!$E$8+2811*1!$B$9</f>
        <v>12264.95</v>
      </c>
      <c r="H56" s="70">
        <f t="shared" si="2"/>
        <v>12264.95</v>
      </c>
      <c r="I56" s="76">
        <f>1!$K$12+(F56-12000-8000-10000-10000)*7.5%</f>
        <v>1536.825</v>
      </c>
      <c r="J56" s="70">
        <v>650</v>
      </c>
      <c r="K56" s="73">
        <f t="shared" si="3"/>
        <v>14451.775000000001</v>
      </c>
      <c r="L56" s="74">
        <f t="shared" si="6"/>
        <v>28359.225</v>
      </c>
      <c r="M56" s="75">
        <f t="shared" si="7"/>
        <v>-0.5425931451612904</v>
      </c>
    </row>
    <row r="57" spans="1:13" ht="18">
      <c r="A57" s="69">
        <v>63000</v>
      </c>
      <c r="B57" s="70">
        <f>A57*1!$G$3</f>
        <v>12600</v>
      </c>
      <c r="C57" s="70">
        <f>A57*1!$H$3</f>
        <v>4378.5</v>
      </c>
      <c r="D57" s="70">
        <f>A57*1!$J$3</f>
        <v>2520</v>
      </c>
      <c r="E57" s="71">
        <f t="shared" si="0"/>
        <v>19498.5</v>
      </c>
      <c r="F57" s="72">
        <f t="shared" si="1"/>
        <v>43501.5</v>
      </c>
      <c r="G57" s="70">
        <f>1!$E$8+3501.5*1!$B$9</f>
        <v>12575.675</v>
      </c>
      <c r="H57" s="70">
        <f t="shared" si="2"/>
        <v>12575.675</v>
      </c>
      <c r="I57" s="76">
        <f>1!$K$12+(F57-12000-8000-10000-10000)*7.5%</f>
        <v>1588.6125</v>
      </c>
      <c r="J57" s="70">
        <v>650</v>
      </c>
      <c r="K57" s="73">
        <f t="shared" si="3"/>
        <v>14814.287499999999</v>
      </c>
      <c r="L57" s="74">
        <f t="shared" si="6"/>
        <v>28687.2125</v>
      </c>
      <c r="M57" s="75">
        <f t="shared" si="7"/>
        <v>-0.5446474206349206</v>
      </c>
    </row>
    <row r="58" spans="1:13" ht="18">
      <c r="A58" s="69">
        <v>64000</v>
      </c>
      <c r="B58" s="70">
        <f>A58*1!$G$3</f>
        <v>12800</v>
      </c>
      <c r="C58" s="70">
        <f>A58*1!$H$3</f>
        <v>4448</v>
      </c>
      <c r="D58" s="70">
        <f>A58*1!$J$3</f>
        <v>2560</v>
      </c>
      <c r="E58" s="71">
        <f t="shared" si="0"/>
        <v>19808</v>
      </c>
      <c r="F58" s="72">
        <f t="shared" si="1"/>
        <v>44192</v>
      </c>
      <c r="G58" s="70">
        <f>1!$E$8+4192*1!$B$9</f>
        <v>12886.4</v>
      </c>
      <c r="H58" s="70">
        <f t="shared" si="2"/>
        <v>12886.4</v>
      </c>
      <c r="I58" s="76">
        <f>1!$K$12+(F58-12000-8000-10000-10000)*7.5%</f>
        <v>1640.4</v>
      </c>
      <c r="J58" s="70">
        <v>650</v>
      </c>
      <c r="K58" s="73">
        <f t="shared" si="3"/>
        <v>15176.8</v>
      </c>
      <c r="L58" s="74">
        <f t="shared" si="6"/>
        <v>29015.199999999997</v>
      </c>
      <c r="M58" s="75">
        <f t="shared" si="7"/>
        <v>-0.5466375000000001</v>
      </c>
    </row>
    <row r="59" spans="1:13" ht="18">
      <c r="A59" s="69">
        <v>65000</v>
      </c>
      <c r="B59" s="70">
        <f>A59*1!$G$3</f>
        <v>13000</v>
      </c>
      <c r="C59" s="70">
        <f>A59*1!$H$3</f>
        <v>4517.5</v>
      </c>
      <c r="D59" s="70">
        <f>A59*1!$J$3</f>
        <v>2600</v>
      </c>
      <c r="E59" s="71">
        <f t="shared" si="0"/>
        <v>20117.5</v>
      </c>
      <c r="F59" s="72">
        <f t="shared" si="1"/>
        <v>44882.5</v>
      </c>
      <c r="G59" s="70">
        <f>1!$E$8+4882.5*1!$B$9</f>
        <v>13197.125</v>
      </c>
      <c r="H59" s="70">
        <f t="shared" si="2"/>
        <v>13197.125</v>
      </c>
      <c r="I59" s="76">
        <f>1!$K$12+(F59-12000-8000-10000-10000)*7.5%</f>
        <v>1692.1875</v>
      </c>
      <c r="J59" s="70">
        <v>650</v>
      </c>
      <c r="K59" s="73">
        <f t="shared" si="3"/>
        <v>15539.3125</v>
      </c>
      <c r="L59" s="74">
        <f t="shared" si="6"/>
        <v>29343.1875</v>
      </c>
      <c r="M59" s="75">
        <f t="shared" si="7"/>
        <v>-0.5485663461538461</v>
      </c>
    </row>
    <row r="60" spans="1:13" ht="18">
      <c r="A60" s="69">
        <v>66000</v>
      </c>
      <c r="B60" s="70">
        <f>A60*1!$G$3</f>
        <v>13200</v>
      </c>
      <c r="C60" s="70">
        <f>A60*1!$H$3</f>
        <v>4587</v>
      </c>
      <c r="D60" s="70">
        <f>A60*1!$J$3</f>
        <v>2640</v>
      </c>
      <c r="E60" s="71">
        <f t="shared" si="0"/>
        <v>20427</v>
      </c>
      <c r="F60" s="72">
        <f t="shared" si="1"/>
        <v>45573</v>
      </c>
      <c r="G60" s="70">
        <f>1!$E$8+5573*1!$B$9</f>
        <v>13507.85</v>
      </c>
      <c r="H60" s="70">
        <f t="shared" si="2"/>
        <v>13507.85</v>
      </c>
      <c r="I60" s="76">
        <f>1!$K$12+(F60-12000-8000-10000-10000)*7.5%</f>
        <v>1743.975</v>
      </c>
      <c r="J60" s="70">
        <v>650</v>
      </c>
      <c r="K60" s="73">
        <f t="shared" si="3"/>
        <v>15901.825</v>
      </c>
      <c r="L60" s="74">
        <f t="shared" si="6"/>
        <v>29671.175000000003</v>
      </c>
      <c r="M60" s="75">
        <f t="shared" si="7"/>
        <v>-0.5504367424242425</v>
      </c>
    </row>
    <row r="61" spans="1:13" ht="18">
      <c r="A61" s="69">
        <v>67000</v>
      </c>
      <c r="B61" s="70">
        <f>A61*1!$G$3</f>
        <v>13400</v>
      </c>
      <c r="C61" s="70">
        <f>A61*1!$H$3</f>
        <v>4656.5</v>
      </c>
      <c r="D61" s="70">
        <f>A61*1!$J$3</f>
        <v>2680</v>
      </c>
      <c r="E61" s="71">
        <f t="shared" si="0"/>
        <v>20736.5</v>
      </c>
      <c r="F61" s="72">
        <f t="shared" si="1"/>
        <v>46263.5</v>
      </c>
      <c r="G61" s="70">
        <f>1!$E$8+6263.5*1!$B$9</f>
        <v>13818.575</v>
      </c>
      <c r="H61" s="70">
        <f t="shared" si="2"/>
        <v>13818.575</v>
      </c>
      <c r="I61" s="76">
        <f>1!$K$12+(F61-12000-8000-10000-10000)*7.5%</f>
        <v>1795.7625</v>
      </c>
      <c r="J61" s="70">
        <v>650</v>
      </c>
      <c r="K61" s="73">
        <f t="shared" si="3"/>
        <v>16264.337500000001</v>
      </c>
      <c r="L61" s="74">
        <f t="shared" si="6"/>
        <v>29999.1625</v>
      </c>
      <c r="M61" s="75">
        <f t="shared" si="7"/>
        <v>-0.5522513059701493</v>
      </c>
    </row>
    <row r="62" spans="1:13" ht="18">
      <c r="A62" s="69">
        <v>68000</v>
      </c>
      <c r="B62" s="70">
        <f>A62*1!$G$3</f>
        <v>13600</v>
      </c>
      <c r="C62" s="70">
        <f>A62*1!$H$3</f>
        <v>4726</v>
      </c>
      <c r="D62" s="70">
        <f>A62*1!$J$3</f>
        <v>2720</v>
      </c>
      <c r="E62" s="71">
        <f t="shared" si="0"/>
        <v>21046</v>
      </c>
      <c r="F62" s="72">
        <f t="shared" si="1"/>
        <v>46954</v>
      </c>
      <c r="G62" s="70">
        <f>1!$E$8+6954*1!$B$9</f>
        <v>14129.3</v>
      </c>
      <c r="H62" s="70">
        <f t="shared" si="2"/>
        <v>14129.3</v>
      </c>
      <c r="I62" s="76">
        <f>1!$K$12+(F62-12000-8000-10000-10000)*7.5%</f>
        <v>1847.55</v>
      </c>
      <c r="J62" s="70">
        <v>650</v>
      </c>
      <c r="K62" s="73">
        <f t="shared" si="3"/>
        <v>16626.85</v>
      </c>
      <c r="L62" s="74">
        <f t="shared" si="6"/>
        <v>30327.149999999998</v>
      </c>
      <c r="M62" s="75">
        <f t="shared" si="7"/>
        <v>-0.5540125</v>
      </c>
    </row>
    <row r="63" spans="1:13" ht="18">
      <c r="A63" s="69">
        <v>69000</v>
      </c>
      <c r="B63" s="70">
        <f>A63*1!$G$3</f>
        <v>13800</v>
      </c>
      <c r="C63" s="70">
        <f>A63*1!$H$3</f>
        <v>4795.5</v>
      </c>
      <c r="D63" s="70">
        <f>A63*1!$J$3</f>
        <v>2760</v>
      </c>
      <c r="E63" s="71">
        <f t="shared" si="0"/>
        <v>21355.5</v>
      </c>
      <c r="F63" s="72">
        <f t="shared" si="1"/>
        <v>47644.5</v>
      </c>
      <c r="G63" s="70">
        <f>1!$E$8+7644.5*1!$B$9</f>
        <v>14440.025</v>
      </c>
      <c r="H63" s="70">
        <f t="shared" si="2"/>
        <v>14440.025</v>
      </c>
      <c r="I63" s="76">
        <f>1!$K$12+(F63-12000-8000-10000-10000)*7.5%</f>
        <v>1899.3375</v>
      </c>
      <c r="J63" s="70">
        <v>650</v>
      </c>
      <c r="K63" s="73">
        <f t="shared" si="3"/>
        <v>16989.3625</v>
      </c>
      <c r="L63" s="74">
        <f t="shared" si="6"/>
        <v>30655.137499999997</v>
      </c>
      <c r="M63" s="75">
        <f t="shared" si="7"/>
        <v>-0.5557226449275363</v>
      </c>
    </row>
    <row r="64" spans="1:13" ht="18">
      <c r="A64" s="77">
        <v>70329.6</v>
      </c>
      <c r="B64" s="76">
        <f>A64*1!$G$3</f>
        <v>14065.920000000002</v>
      </c>
      <c r="C64" s="76">
        <f>A64*1!$H$3</f>
        <v>4887.907200000001</v>
      </c>
      <c r="D64" s="76">
        <f>A64*1!$J$3</f>
        <v>2813.184</v>
      </c>
      <c r="E64" s="71">
        <f t="shared" si="0"/>
        <v>21767.011200000004</v>
      </c>
      <c r="F64" s="72">
        <f t="shared" si="1"/>
        <v>48562.5888</v>
      </c>
      <c r="G64" s="76">
        <f>1!$E$8+8562.59*1!$B$9</f>
        <v>14853.1655</v>
      </c>
      <c r="H64" s="76">
        <f t="shared" si="2"/>
        <v>14853.1655</v>
      </c>
      <c r="I64" s="76">
        <f>1!$K$12+(F64-12000-8000-10000-10000)*7.5%</f>
        <v>1968.1941599999998</v>
      </c>
      <c r="J64" s="76">
        <v>650</v>
      </c>
      <c r="K64" s="73">
        <f t="shared" si="3"/>
        <v>17471.35966</v>
      </c>
      <c r="L64" s="78">
        <f t="shared" si="6"/>
        <v>31091.229139999996</v>
      </c>
      <c r="M64" s="79">
        <f t="shared" si="7"/>
        <v>-0.5579211435867687</v>
      </c>
    </row>
    <row r="65" s="38" customFormat="1" ht="18.75">
      <c r="A65" s="139" t="s">
        <v>251</v>
      </c>
    </row>
  </sheetData>
  <sheetProtection/>
  <mergeCells count="1">
    <mergeCell ref="A1:L1"/>
  </mergeCells>
  <hyperlinks>
    <hyperlink ref="M1" location="'1'!A1" display="'1'!A1"/>
  </hyperlinks>
  <printOptions horizontalCentered="1"/>
  <pageMargins left="0.5118110236220472" right="0.5118110236220472" top="0.35433070866141736" bottom="0.35433070866141736" header="0.31496062992125984" footer="0.31496062992125984"/>
  <pageSetup horizontalDpi="600" verticalDpi="600" orientation="landscape" paperSize="9" scale="83" r:id="rId3"/>
  <legacyDrawing r:id="rId2"/>
</worksheet>
</file>

<file path=xl/worksheets/sheet3.xml><?xml version="1.0" encoding="utf-8"?>
<worksheet xmlns="http://schemas.openxmlformats.org/spreadsheetml/2006/main" xmlns:r="http://schemas.openxmlformats.org/officeDocument/2006/relationships">
  <dimension ref="A1:Q68"/>
  <sheetViews>
    <sheetView zoomScalePageLayoutView="0" workbookViewId="0" topLeftCell="A1">
      <selection activeCell="A1" sqref="A1:N1"/>
    </sheetView>
  </sheetViews>
  <sheetFormatPr defaultColWidth="9.140625" defaultRowHeight="15"/>
  <cols>
    <col min="1" max="1" width="15.7109375" style="0" customWidth="1"/>
    <col min="3" max="4" width="8.7109375" style="0" bestFit="1" customWidth="1"/>
    <col min="5" max="5" width="11.57421875" style="0" bestFit="1" customWidth="1"/>
    <col min="6" max="6" width="10.57421875" style="38" bestFit="1" customWidth="1"/>
    <col min="7" max="7" width="11.57421875" style="38" bestFit="1" customWidth="1"/>
    <col min="8" max="8" width="13.00390625" style="0" customWidth="1"/>
    <col min="9" max="9" width="12.28125" style="0" customWidth="1"/>
    <col min="10" max="10" width="14.140625" style="0" customWidth="1"/>
    <col min="11" max="11" width="11.8515625" style="0" customWidth="1"/>
    <col min="12" max="12" width="11.00390625" style="0" customWidth="1"/>
    <col min="13" max="13" width="11.421875" style="0" bestFit="1" customWidth="1"/>
    <col min="14" max="14" width="10.140625" style="0" bestFit="1" customWidth="1"/>
    <col min="15" max="15" width="10.421875" style="0" customWidth="1"/>
    <col min="17" max="17" width="10.140625" style="0" bestFit="1" customWidth="1"/>
  </cols>
  <sheetData>
    <row r="1" spans="1:15" ht="60.75" customHeight="1">
      <c r="A1" s="177" t="s">
        <v>228</v>
      </c>
      <c r="B1" s="177"/>
      <c r="C1" s="177"/>
      <c r="D1" s="177"/>
      <c r="E1" s="177"/>
      <c r="F1" s="177"/>
      <c r="G1" s="177"/>
      <c r="H1" s="177"/>
      <c r="I1" s="177"/>
      <c r="J1" s="177"/>
      <c r="K1" s="177"/>
      <c r="L1" s="177"/>
      <c r="M1" s="177"/>
      <c r="N1" s="177"/>
      <c r="O1" s="60" t="s">
        <v>178</v>
      </c>
    </row>
    <row r="2" spans="1:15" ht="95.25" customHeight="1">
      <c r="A2" s="42" t="s">
        <v>195</v>
      </c>
      <c r="B2" s="42" t="s">
        <v>205</v>
      </c>
      <c r="C2" s="42" t="s">
        <v>206</v>
      </c>
      <c r="D2" s="42" t="s">
        <v>207</v>
      </c>
      <c r="E2" s="64" t="s">
        <v>198</v>
      </c>
      <c r="F2" s="64" t="s">
        <v>223</v>
      </c>
      <c r="G2" s="64" t="s">
        <v>224</v>
      </c>
      <c r="H2" s="57" t="s">
        <v>185</v>
      </c>
      <c r="I2" s="58" t="s">
        <v>201</v>
      </c>
      <c r="J2" s="42" t="s">
        <v>202</v>
      </c>
      <c r="K2" s="58" t="s">
        <v>203</v>
      </c>
      <c r="L2" s="42" t="s">
        <v>204</v>
      </c>
      <c r="M2" s="81" t="s">
        <v>216</v>
      </c>
      <c r="N2" s="42" t="s">
        <v>208</v>
      </c>
      <c r="O2" s="66" t="s">
        <v>200</v>
      </c>
    </row>
    <row r="3" spans="1:15" ht="33.75">
      <c r="A3" s="63" t="s">
        <v>186</v>
      </c>
      <c r="B3" s="63" t="s">
        <v>187</v>
      </c>
      <c r="C3" s="61" t="s">
        <v>188</v>
      </c>
      <c r="D3" s="61" t="s">
        <v>189</v>
      </c>
      <c r="E3" s="62" t="s">
        <v>196</v>
      </c>
      <c r="F3" s="62" t="s">
        <v>190</v>
      </c>
      <c r="G3" s="62" t="s">
        <v>211</v>
      </c>
      <c r="H3" s="62" t="s">
        <v>212</v>
      </c>
      <c r="I3" s="61" t="s">
        <v>193</v>
      </c>
      <c r="J3" s="61" t="s">
        <v>213</v>
      </c>
      <c r="K3" s="61" t="s">
        <v>214</v>
      </c>
      <c r="L3" s="61" t="s">
        <v>215</v>
      </c>
      <c r="M3" s="62" t="s">
        <v>217</v>
      </c>
      <c r="N3" s="61" t="s">
        <v>221</v>
      </c>
      <c r="O3" s="68" t="s">
        <v>222</v>
      </c>
    </row>
    <row r="4" spans="1:15" ht="18">
      <c r="A4" s="69" t="s">
        <v>210</v>
      </c>
      <c r="B4" s="70">
        <f>7033*1!$G$3</f>
        <v>1406.6000000000001</v>
      </c>
      <c r="C4" s="70">
        <f>7033*1!$H$3</f>
        <v>488.79350000000005</v>
      </c>
      <c r="D4" s="70">
        <f>7033*1!$J$3</f>
        <v>281.32</v>
      </c>
      <c r="E4" s="71">
        <f>SUM(B4:D4)</f>
        <v>2176.7135000000003</v>
      </c>
      <c r="F4" s="71">
        <v>0</v>
      </c>
      <c r="G4" s="71">
        <f aca="true" t="shared" si="0" ref="G4:G10">E4-F4</f>
        <v>2176.7135000000003</v>
      </c>
      <c r="H4" s="72">
        <f>7033-G4</f>
        <v>4856.2865</v>
      </c>
      <c r="I4" s="70">
        <f>H4*1!$B$6</f>
        <v>1068.38303</v>
      </c>
      <c r="J4" s="70">
        <f>I4*100%</f>
        <v>1068.38303</v>
      </c>
      <c r="K4" s="70">
        <v>0</v>
      </c>
      <c r="L4" s="70">
        <v>650</v>
      </c>
      <c r="M4" s="73">
        <f>I4+K4+L4</f>
        <v>1718.38303</v>
      </c>
      <c r="N4" s="74">
        <f>H4-M4</f>
        <v>3137.90347</v>
      </c>
      <c r="O4" s="75">
        <f>N4/7033-1</f>
        <v>-0.5538314417744916</v>
      </c>
    </row>
    <row r="5" spans="1:15" ht="18">
      <c r="A5" s="69">
        <v>8000</v>
      </c>
      <c r="B5" s="70">
        <f>A5*1!$G$3</f>
        <v>1600</v>
      </c>
      <c r="C5" s="70">
        <f>A5*1!$H$3</f>
        <v>556</v>
      </c>
      <c r="D5" s="70">
        <f>A5*1!$J$3</f>
        <v>320</v>
      </c>
      <c r="E5" s="71">
        <f aca="true" t="shared" si="1" ref="E5:E67">SUM(B5:D5)</f>
        <v>2476</v>
      </c>
      <c r="F5" s="71">
        <f aca="true" t="shared" si="2" ref="F5:F10">E5*50%</f>
        <v>1238</v>
      </c>
      <c r="G5" s="71">
        <f t="shared" si="0"/>
        <v>1238</v>
      </c>
      <c r="H5" s="72">
        <f aca="true" t="shared" si="3" ref="H5:H65">A5-G5</f>
        <v>6762</v>
      </c>
      <c r="I5" s="76">
        <f>H5*1!$B$6</f>
        <v>1487.64</v>
      </c>
      <c r="J5" s="76">
        <f aca="true" t="shared" si="4" ref="J5:J67">I5*100%</f>
        <v>1487.64</v>
      </c>
      <c r="K5" s="76">
        <v>0</v>
      </c>
      <c r="L5" s="70">
        <v>650</v>
      </c>
      <c r="M5" s="73">
        <f aca="true" t="shared" si="5" ref="M5:M67">I5+K5+L5</f>
        <v>2137.6400000000003</v>
      </c>
      <c r="N5" s="74">
        <f>H5-M5</f>
        <v>4624.36</v>
      </c>
      <c r="O5" s="75">
        <f>N5/A5-1</f>
        <v>-0.4219550000000001</v>
      </c>
    </row>
    <row r="6" spans="1:15" ht="18">
      <c r="A6" s="69">
        <v>9000</v>
      </c>
      <c r="B6" s="70">
        <f>A6*1!$G$3</f>
        <v>1800</v>
      </c>
      <c r="C6" s="70">
        <f>A6*1!$H$3</f>
        <v>625.5</v>
      </c>
      <c r="D6" s="70">
        <f>A6*1!$J$3</f>
        <v>360</v>
      </c>
      <c r="E6" s="71">
        <f t="shared" si="1"/>
        <v>2785.5</v>
      </c>
      <c r="F6" s="71">
        <f t="shared" si="2"/>
        <v>1392.75</v>
      </c>
      <c r="G6" s="71">
        <f t="shared" si="0"/>
        <v>1392.75</v>
      </c>
      <c r="H6" s="72">
        <f t="shared" si="3"/>
        <v>7607.25</v>
      </c>
      <c r="I6" s="76">
        <f>H6*1!$B$6</f>
        <v>1673.595</v>
      </c>
      <c r="J6" s="76">
        <f t="shared" si="4"/>
        <v>1673.595</v>
      </c>
      <c r="K6" s="76">
        <v>0</v>
      </c>
      <c r="L6" s="70">
        <v>650</v>
      </c>
      <c r="M6" s="73">
        <f t="shared" si="5"/>
        <v>2323.5950000000003</v>
      </c>
      <c r="N6" s="74">
        <f aca="true" t="shared" si="6" ref="N6:N67">H6-M6</f>
        <v>5283.655</v>
      </c>
      <c r="O6" s="75">
        <f aca="true" t="shared" si="7" ref="O6:O67">N6/A6-1</f>
        <v>-0.4129272222222222</v>
      </c>
    </row>
    <row r="7" spans="1:15" ht="18">
      <c r="A7" s="69">
        <v>10000</v>
      </c>
      <c r="B7" s="70">
        <f>A7*1!$G$3</f>
        <v>2000</v>
      </c>
      <c r="C7" s="70">
        <f>A7*1!$H$3</f>
        <v>695.0000000000001</v>
      </c>
      <c r="D7" s="70">
        <f>A7*1!$J$3</f>
        <v>400</v>
      </c>
      <c r="E7" s="71">
        <f t="shared" si="1"/>
        <v>3095</v>
      </c>
      <c r="F7" s="71">
        <f t="shared" si="2"/>
        <v>1547.5</v>
      </c>
      <c r="G7" s="71">
        <f t="shared" si="0"/>
        <v>1547.5</v>
      </c>
      <c r="H7" s="72">
        <f t="shared" si="3"/>
        <v>8452.5</v>
      </c>
      <c r="I7" s="76">
        <f>H7*1!$B$6</f>
        <v>1859.55</v>
      </c>
      <c r="J7" s="76">
        <f t="shared" si="4"/>
        <v>1859.55</v>
      </c>
      <c r="K7" s="76">
        <v>0</v>
      </c>
      <c r="L7" s="70">
        <v>650</v>
      </c>
      <c r="M7" s="73">
        <f t="shared" si="5"/>
        <v>2509.55</v>
      </c>
      <c r="N7" s="74">
        <f t="shared" si="6"/>
        <v>5942.95</v>
      </c>
      <c r="O7" s="75">
        <f t="shared" si="7"/>
        <v>-0.405705</v>
      </c>
    </row>
    <row r="8" spans="1:15" ht="18">
      <c r="A8" s="69">
        <v>11000</v>
      </c>
      <c r="B8" s="70">
        <f>A8*1!$G$3</f>
        <v>2200</v>
      </c>
      <c r="C8" s="70">
        <f>A8*1!$H$3</f>
        <v>764.5000000000001</v>
      </c>
      <c r="D8" s="70">
        <f>A8*1!$J$3</f>
        <v>440</v>
      </c>
      <c r="E8" s="71">
        <f t="shared" si="1"/>
        <v>3404.5</v>
      </c>
      <c r="F8" s="71">
        <f t="shared" si="2"/>
        <v>1702.25</v>
      </c>
      <c r="G8" s="71">
        <f t="shared" si="0"/>
        <v>1702.25</v>
      </c>
      <c r="H8" s="72">
        <f t="shared" si="3"/>
        <v>9297.75</v>
      </c>
      <c r="I8" s="76">
        <f>H8*1!$B$6</f>
        <v>2045.505</v>
      </c>
      <c r="J8" s="76">
        <f t="shared" si="4"/>
        <v>2045.505</v>
      </c>
      <c r="K8" s="76">
        <v>0</v>
      </c>
      <c r="L8" s="70">
        <v>650</v>
      </c>
      <c r="M8" s="73">
        <f t="shared" si="5"/>
        <v>2695.505</v>
      </c>
      <c r="N8" s="74">
        <f t="shared" si="6"/>
        <v>6602.245</v>
      </c>
      <c r="O8" s="75">
        <f t="shared" si="7"/>
        <v>-0.3997959090909091</v>
      </c>
    </row>
    <row r="9" spans="1:15" ht="18">
      <c r="A9" s="69">
        <v>12000</v>
      </c>
      <c r="B9" s="70">
        <f>A9*1!$G$3</f>
        <v>2400</v>
      </c>
      <c r="C9" s="70">
        <f>A9*1!$H$3</f>
        <v>834.0000000000001</v>
      </c>
      <c r="D9" s="70">
        <f>A9*1!$J$3</f>
        <v>480</v>
      </c>
      <c r="E9" s="71">
        <f t="shared" si="1"/>
        <v>3714</v>
      </c>
      <c r="F9" s="71">
        <f t="shared" si="2"/>
        <v>1857</v>
      </c>
      <c r="G9" s="71">
        <f t="shared" si="0"/>
        <v>1857</v>
      </c>
      <c r="H9" s="72">
        <f t="shared" si="3"/>
        <v>10143</v>
      </c>
      <c r="I9" s="76">
        <f>H9*1!$B$6</f>
        <v>2231.46</v>
      </c>
      <c r="J9" s="76">
        <f t="shared" si="4"/>
        <v>2231.46</v>
      </c>
      <c r="K9" s="76">
        <v>0</v>
      </c>
      <c r="L9" s="70">
        <v>650</v>
      </c>
      <c r="M9" s="73">
        <f t="shared" si="5"/>
        <v>2881.46</v>
      </c>
      <c r="N9" s="74">
        <f t="shared" si="6"/>
        <v>7261.54</v>
      </c>
      <c r="O9" s="75">
        <f t="shared" si="7"/>
        <v>-0.3948716666666666</v>
      </c>
    </row>
    <row r="10" spans="1:15" ht="18">
      <c r="A10" s="80">
        <v>13000</v>
      </c>
      <c r="B10" s="70">
        <f>A10*1!$G$3</f>
        <v>2600</v>
      </c>
      <c r="C10" s="70">
        <f>A10*1!$H$3</f>
        <v>903.5000000000001</v>
      </c>
      <c r="D10" s="70">
        <f>A10*1!$J$3</f>
        <v>520</v>
      </c>
      <c r="E10" s="71">
        <f t="shared" si="1"/>
        <v>4023.5</v>
      </c>
      <c r="F10" s="71">
        <f t="shared" si="2"/>
        <v>2011.75</v>
      </c>
      <c r="G10" s="71">
        <f t="shared" si="0"/>
        <v>2011.75</v>
      </c>
      <c r="H10" s="72">
        <f t="shared" si="3"/>
        <v>10988.25</v>
      </c>
      <c r="I10" s="76">
        <f>H10*1!$B$6</f>
        <v>2417.415</v>
      </c>
      <c r="J10" s="76">
        <f t="shared" si="4"/>
        <v>2417.415</v>
      </c>
      <c r="K10" s="76">
        <v>0</v>
      </c>
      <c r="L10" s="70">
        <v>650</v>
      </c>
      <c r="M10" s="73">
        <f t="shared" si="5"/>
        <v>3067.415</v>
      </c>
      <c r="N10" s="74">
        <f t="shared" si="6"/>
        <v>7920.835</v>
      </c>
      <c r="O10" s="75">
        <f t="shared" si="7"/>
        <v>-0.39070499999999997</v>
      </c>
    </row>
    <row r="11" spans="1:17" ht="18">
      <c r="A11" s="69">
        <v>14000</v>
      </c>
      <c r="B11" s="70">
        <f>A11*1!$G$3</f>
        <v>2800</v>
      </c>
      <c r="C11" s="70">
        <f>A11*1!$H$3</f>
        <v>973.0000000000001</v>
      </c>
      <c r="D11" s="70">
        <f>A11*1!$J$3</f>
        <v>560</v>
      </c>
      <c r="E11" s="71">
        <f t="shared" si="1"/>
        <v>4333</v>
      </c>
      <c r="F11" s="71">
        <f>E11*49%</f>
        <v>2123.17</v>
      </c>
      <c r="G11" s="71">
        <f aca="true" t="shared" si="8" ref="G11:G67">E11-F11</f>
        <v>2209.83</v>
      </c>
      <c r="H11" s="72">
        <f t="shared" si="3"/>
        <v>11790.17</v>
      </c>
      <c r="I11" s="76">
        <f>H11*1!$B$6</f>
        <v>2593.8374</v>
      </c>
      <c r="J11" s="76">
        <f t="shared" si="4"/>
        <v>2593.8374</v>
      </c>
      <c r="K11" s="76">
        <v>0</v>
      </c>
      <c r="L11" s="70">
        <v>650</v>
      </c>
      <c r="M11" s="73">
        <f t="shared" si="5"/>
        <v>3243.8374</v>
      </c>
      <c r="N11" s="74">
        <f t="shared" si="6"/>
        <v>8546.3326</v>
      </c>
      <c r="O11" s="75">
        <f t="shared" si="7"/>
        <v>-0.3895476714285715</v>
      </c>
      <c r="Q11" s="59"/>
    </row>
    <row r="12" spans="1:17" ht="18">
      <c r="A12" s="69">
        <v>15000</v>
      </c>
      <c r="B12" s="70">
        <f>A12*1!$G$3</f>
        <v>3000</v>
      </c>
      <c r="C12" s="70">
        <f>A12*1!$H$3</f>
        <v>1042.5</v>
      </c>
      <c r="D12" s="70">
        <f>A12*1!$J$3</f>
        <v>600</v>
      </c>
      <c r="E12" s="71">
        <f t="shared" si="1"/>
        <v>4642.5</v>
      </c>
      <c r="F12" s="71">
        <f>E12*48%</f>
        <v>2228.4</v>
      </c>
      <c r="G12" s="71">
        <f t="shared" si="8"/>
        <v>2414.1</v>
      </c>
      <c r="H12" s="72">
        <f t="shared" si="3"/>
        <v>12585.9</v>
      </c>
      <c r="I12" s="76">
        <f>H12*1!$B$6</f>
        <v>2768.898</v>
      </c>
      <c r="J12" s="76">
        <f t="shared" si="4"/>
        <v>2768.898</v>
      </c>
      <c r="K12" s="76">
        <f>(H12-12000)*2.2/100</f>
        <v>12.889799999999994</v>
      </c>
      <c r="L12" s="70">
        <v>650</v>
      </c>
      <c r="M12" s="73">
        <f t="shared" si="5"/>
        <v>3431.7878</v>
      </c>
      <c r="N12" s="74">
        <f t="shared" si="6"/>
        <v>9154.1122</v>
      </c>
      <c r="O12" s="75">
        <f t="shared" si="7"/>
        <v>-0.3897258533333333</v>
      </c>
      <c r="Q12" s="59"/>
    </row>
    <row r="13" spans="1:15" ht="18">
      <c r="A13" s="69">
        <v>16000</v>
      </c>
      <c r="B13" s="70">
        <f>A13*1!$G$3</f>
        <v>3200</v>
      </c>
      <c r="C13" s="70">
        <f>A13*1!$H$3</f>
        <v>1112</v>
      </c>
      <c r="D13" s="70">
        <f>A13*1!$J$3</f>
        <v>640</v>
      </c>
      <c r="E13" s="71">
        <f t="shared" si="1"/>
        <v>4952</v>
      </c>
      <c r="F13" s="71">
        <f>E13*47/100</f>
        <v>2327.44</v>
      </c>
      <c r="G13" s="71">
        <f t="shared" si="8"/>
        <v>2624.56</v>
      </c>
      <c r="H13" s="72">
        <f t="shared" si="3"/>
        <v>13375.44</v>
      </c>
      <c r="I13" s="76">
        <f>H13*1!$B$6</f>
        <v>2942.5968000000003</v>
      </c>
      <c r="J13" s="76">
        <f t="shared" si="4"/>
        <v>2942.5968000000003</v>
      </c>
      <c r="K13" s="76">
        <f>(H13-12000)*2.2/100</f>
        <v>30.259680000000014</v>
      </c>
      <c r="L13" s="70">
        <v>650</v>
      </c>
      <c r="M13" s="73">
        <f t="shared" si="5"/>
        <v>3622.8564800000004</v>
      </c>
      <c r="N13" s="74">
        <f t="shared" si="6"/>
        <v>9752.58352</v>
      </c>
      <c r="O13" s="75">
        <f t="shared" si="7"/>
        <v>-0.39046353</v>
      </c>
    </row>
    <row r="14" spans="1:15" ht="18">
      <c r="A14" s="69">
        <v>17000</v>
      </c>
      <c r="B14" s="70">
        <f>A14*1!$G$3</f>
        <v>3400</v>
      </c>
      <c r="C14" s="70">
        <f>A14*1!$H$3</f>
        <v>1181.5</v>
      </c>
      <c r="D14" s="70">
        <f>A14*1!$J$3</f>
        <v>680</v>
      </c>
      <c r="E14" s="71">
        <f t="shared" si="1"/>
        <v>5261.5</v>
      </c>
      <c r="F14" s="71">
        <f>E14*46/100</f>
        <v>2420.29</v>
      </c>
      <c r="G14" s="71">
        <f t="shared" si="8"/>
        <v>2841.21</v>
      </c>
      <c r="H14" s="72">
        <f t="shared" si="3"/>
        <v>14158.79</v>
      </c>
      <c r="I14" s="76">
        <f>H14*1!$B$6</f>
        <v>3114.9338000000002</v>
      </c>
      <c r="J14" s="76">
        <f t="shared" si="4"/>
        <v>3114.9338000000002</v>
      </c>
      <c r="K14" s="76">
        <f aca="true" t="shared" si="9" ref="K14:K21">(H14-12000)*2.2/100</f>
        <v>47.49338000000002</v>
      </c>
      <c r="L14" s="70">
        <v>650</v>
      </c>
      <c r="M14" s="73">
        <f t="shared" si="5"/>
        <v>3812.42718</v>
      </c>
      <c r="N14" s="74">
        <f t="shared" si="6"/>
        <v>10346.36282</v>
      </c>
      <c r="O14" s="75">
        <f t="shared" si="7"/>
        <v>-0.3913904223529412</v>
      </c>
    </row>
    <row r="15" spans="1:15" ht="18">
      <c r="A15" s="69">
        <v>18000</v>
      </c>
      <c r="B15" s="70">
        <f>A15*1!$G$3</f>
        <v>3600</v>
      </c>
      <c r="C15" s="70">
        <f>A15*1!$H$3</f>
        <v>1251</v>
      </c>
      <c r="D15" s="70">
        <f>A15*1!$J$3</f>
        <v>720</v>
      </c>
      <c r="E15" s="71">
        <f t="shared" si="1"/>
        <v>5571</v>
      </c>
      <c r="F15" s="71">
        <f>E15*45/100</f>
        <v>2506.95</v>
      </c>
      <c r="G15" s="71">
        <f t="shared" si="8"/>
        <v>3064.05</v>
      </c>
      <c r="H15" s="72">
        <f t="shared" si="3"/>
        <v>14935.95</v>
      </c>
      <c r="I15" s="76">
        <f>H15*1!$B$6</f>
        <v>3285.909</v>
      </c>
      <c r="J15" s="76">
        <f t="shared" si="4"/>
        <v>3285.909</v>
      </c>
      <c r="K15" s="76">
        <f t="shared" si="9"/>
        <v>64.59090000000002</v>
      </c>
      <c r="L15" s="70">
        <v>650</v>
      </c>
      <c r="M15" s="73">
        <f t="shared" si="5"/>
        <v>4000.4999000000003</v>
      </c>
      <c r="N15" s="74">
        <f t="shared" si="6"/>
        <v>10935.4501</v>
      </c>
      <c r="O15" s="75">
        <f t="shared" si="7"/>
        <v>-0.39247499444444445</v>
      </c>
    </row>
    <row r="16" spans="1:15" ht="18">
      <c r="A16" s="69">
        <v>19000</v>
      </c>
      <c r="B16" s="70">
        <f>A16*1!$G$3</f>
        <v>3800</v>
      </c>
      <c r="C16" s="70">
        <f>A16*1!$H$3</f>
        <v>1320.5000000000002</v>
      </c>
      <c r="D16" s="70">
        <f>A16*1!$J$3</f>
        <v>760</v>
      </c>
      <c r="E16" s="71">
        <f t="shared" si="1"/>
        <v>5880.5</v>
      </c>
      <c r="F16" s="71">
        <f>E16*44/100</f>
        <v>2587.42</v>
      </c>
      <c r="G16" s="71">
        <f t="shared" si="8"/>
        <v>3293.08</v>
      </c>
      <c r="H16" s="72">
        <f t="shared" si="3"/>
        <v>15706.92</v>
      </c>
      <c r="I16" s="76">
        <f>H16*1!$B$6</f>
        <v>3455.5224</v>
      </c>
      <c r="J16" s="76">
        <f t="shared" si="4"/>
        <v>3455.5224</v>
      </c>
      <c r="K16" s="76">
        <f t="shared" si="9"/>
        <v>81.55224000000001</v>
      </c>
      <c r="L16" s="70">
        <v>650</v>
      </c>
      <c r="M16" s="73">
        <f t="shared" si="5"/>
        <v>4187.07464</v>
      </c>
      <c r="N16" s="74">
        <f t="shared" si="6"/>
        <v>11519.84536</v>
      </c>
      <c r="O16" s="75">
        <f t="shared" si="7"/>
        <v>-0.39369234947368426</v>
      </c>
    </row>
    <row r="17" spans="1:15" ht="18">
      <c r="A17" s="69">
        <v>20000</v>
      </c>
      <c r="B17" s="70">
        <f>A17*1!$G$3</f>
        <v>4000</v>
      </c>
      <c r="C17" s="70">
        <f>A17*1!$H$3</f>
        <v>1390.0000000000002</v>
      </c>
      <c r="D17" s="70">
        <f>A17*1!$J$3</f>
        <v>800</v>
      </c>
      <c r="E17" s="71">
        <f t="shared" si="1"/>
        <v>6190</v>
      </c>
      <c r="F17" s="71">
        <f>E17*43/100</f>
        <v>2661.7</v>
      </c>
      <c r="G17" s="71">
        <f t="shared" si="8"/>
        <v>3528.3</v>
      </c>
      <c r="H17" s="72">
        <f t="shared" si="3"/>
        <v>16471.7</v>
      </c>
      <c r="I17" s="76">
        <f>H17*1!$B$6</f>
        <v>3623.7740000000003</v>
      </c>
      <c r="J17" s="76">
        <f t="shared" si="4"/>
        <v>3623.7740000000003</v>
      </c>
      <c r="K17" s="76">
        <f t="shared" si="9"/>
        <v>98.37740000000002</v>
      </c>
      <c r="L17" s="70">
        <v>650</v>
      </c>
      <c r="M17" s="73">
        <f t="shared" si="5"/>
        <v>4372.151400000001</v>
      </c>
      <c r="N17" s="74">
        <f t="shared" si="6"/>
        <v>12099.5486</v>
      </c>
      <c r="O17" s="75">
        <f t="shared" si="7"/>
        <v>-0.39502256999999996</v>
      </c>
    </row>
    <row r="18" spans="1:15" ht="18">
      <c r="A18" s="69">
        <v>21000</v>
      </c>
      <c r="B18" s="70">
        <f>A18*1!$G$3</f>
        <v>4200</v>
      </c>
      <c r="C18" s="70">
        <f>A18*1!$H$3</f>
        <v>1459.5000000000002</v>
      </c>
      <c r="D18" s="70">
        <f>A18*1!$J$3</f>
        <v>840</v>
      </c>
      <c r="E18" s="71">
        <f t="shared" si="1"/>
        <v>6499.5</v>
      </c>
      <c r="F18" s="71">
        <f>E18*42/100</f>
        <v>2729.79</v>
      </c>
      <c r="G18" s="71">
        <f t="shared" si="8"/>
        <v>3769.71</v>
      </c>
      <c r="H18" s="72">
        <f t="shared" si="3"/>
        <v>17230.29</v>
      </c>
      <c r="I18" s="76">
        <f>H18*1!$B$6</f>
        <v>3790.6638000000003</v>
      </c>
      <c r="J18" s="76">
        <f t="shared" si="4"/>
        <v>3790.6638000000003</v>
      </c>
      <c r="K18" s="76">
        <f t="shared" si="9"/>
        <v>115.06638000000002</v>
      </c>
      <c r="L18" s="70">
        <v>650</v>
      </c>
      <c r="M18" s="73">
        <f t="shared" si="5"/>
        <v>4555.7301800000005</v>
      </c>
      <c r="N18" s="74">
        <f t="shared" si="6"/>
        <v>12674.55982</v>
      </c>
      <c r="O18" s="75">
        <f t="shared" si="7"/>
        <v>-0.3964495323809524</v>
      </c>
    </row>
    <row r="19" spans="1:15" ht="18">
      <c r="A19" s="69">
        <v>22000</v>
      </c>
      <c r="B19" s="70">
        <f>A19*1!$G$3</f>
        <v>4400</v>
      </c>
      <c r="C19" s="70">
        <f>A19*1!$H$3</f>
        <v>1529.0000000000002</v>
      </c>
      <c r="D19" s="70">
        <f>A19*1!$J$3</f>
        <v>880</v>
      </c>
      <c r="E19" s="71">
        <f t="shared" si="1"/>
        <v>6809</v>
      </c>
      <c r="F19" s="71">
        <f>E19*41/100</f>
        <v>2791.69</v>
      </c>
      <c r="G19" s="71">
        <f t="shared" si="8"/>
        <v>4017.31</v>
      </c>
      <c r="H19" s="72">
        <f t="shared" si="3"/>
        <v>17982.69</v>
      </c>
      <c r="I19" s="76">
        <f>H19*1!$B$6</f>
        <v>3956.1917999999996</v>
      </c>
      <c r="J19" s="76">
        <f t="shared" si="4"/>
        <v>3956.1917999999996</v>
      </c>
      <c r="K19" s="76">
        <f t="shared" si="9"/>
        <v>131.61917999999997</v>
      </c>
      <c r="L19" s="70">
        <v>650</v>
      </c>
      <c r="M19" s="73">
        <f t="shared" si="5"/>
        <v>4737.81098</v>
      </c>
      <c r="N19" s="74">
        <f t="shared" si="6"/>
        <v>13244.879019999998</v>
      </c>
      <c r="O19" s="75">
        <f t="shared" si="7"/>
        <v>-0.39796004454545464</v>
      </c>
    </row>
    <row r="20" spans="1:15" ht="18">
      <c r="A20" s="69">
        <v>23000</v>
      </c>
      <c r="B20" s="70">
        <f>A20*1!$G$3</f>
        <v>4600</v>
      </c>
      <c r="C20" s="70">
        <f>A20*1!$H$3</f>
        <v>1598.5000000000002</v>
      </c>
      <c r="D20" s="70">
        <f>A20*1!$J$3</f>
        <v>920</v>
      </c>
      <c r="E20" s="71">
        <f t="shared" si="1"/>
        <v>7118.5</v>
      </c>
      <c r="F20" s="71">
        <f>E20*40/100</f>
        <v>2847.4</v>
      </c>
      <c r="G20" s="71">
        <f t="shared" si="8"/>
        <v>4271.1</v>
      </c>
      <c r="H20" s="72">
        <f t="shared" si="3"/>
        <v>18728.9</v>
      </c>
      <c r="I20" s="76">
        <f>H20*1!$B$6</f>
        <v>4120.358</v>
      </c>
      <c r="J20" s="76">
        <f t="shared" si="4"/>
        <v>4120.358</v>
      </c>
      <c r="K20" s="76">
        <f t="shared" si="9"/>
        <v>148.03580000000002</v>
      </c>
      <c r="L20" s="70">
        <v>650</v>
      </c>
      <c r="M20" s="73">
        <f t="shared" si="5"/>
        <v>4918.3938</v>
      </c>
      <c r="N20" s="74">
        <f t="shared" si="6"/>
        <v>13810.506200000002</v>
      </c>
      <c r="O20" s="75">
        <f t="shared" si="7"/>
        <v>-0.3995432086956521</v>
      </c>
    </row>
    <row r="21" spans="1:15" ht="18">
      <c r="A21" s="69">
        <v>24000</v>
      </c>
      <c r="B21" s="70">
        <f>A21*1!$G$3</f>
        <v>4800</v>
      </c>
      <c r="C21" s="70">
        <f>A21*1!$H$3</f>
        <v>1668.0000000000002</v>
      </c>
      <c r="D21" s="70">
        <f>A21*1!$J$3</f>
        <v>960</v>
      </c>
      <c r="E21" s="71">
        <f t="shared" si="1"/>
        <v>7428</v>
      </c>
      <c r="F21" s="71">
        <f>E21*39/100</f>
        <v>2896.92</v>
      </c>
      <c r="G21" s="71">
        <f t="shared" si="8"/>
        <v>4531.08</v>
      </c>
      <c r="H21" s="72">
        <f t="shared" si="3"/>
        <v>19468.92</v>
      </c>
      <c r="I21" s="76">
        <f>H21*1!$B$6</f>
        <v>4283.162399999999</v>
      </c>
      <c r="J21" s="76">
        <f t="shared" si="4"/>
        <v>4283.162399999999</v>
      </c>
      <c r="K21" s="76">
        <f t="shared" si="9"/>
        <v>164.31623999999996</v>
      </c>
      <c r="L21" s="70">
        <v>650</v>
      </c>
      <c r="M21" s="73">
        <f t="shared" si="5"/>
        <v>5097.478639999999</v>
      </c>
      <c r="N21" s="74">
        <f t="shared" si="6"/>
        <v>14371.441359999999</v>
      </c>
      <c r="O21" s="75">
        <f t="shared" si="7"/>
        <v>-0.40118994333333335</v>
      </c>
    </row>
    <row r="22" spans="1:15" ht="18">
      <c r="A22" s="69">
        <v>25000</v>
      </c>
      <c r="B22" s="70">
        <f>A22*1!$G$3</f>
        <v>5000</v>
      </c>
      <c r="C22" s="70">
        <f>A22*1!$H$3</f>
        <v>1737.5000000000002</v>
      </c>
      <c r="D22" s="70">
        <f>A22*1!$J$3</f>
        <v>1000</v>
      </c>
      <c r="E22" s="71">
        <f t="shared" si="1"/>
        <v>7737.5</v>
      </c>
      <c r="F22" s="71">
        <f>E22*38/100</f>
        <v>2940.25</v>
      </c>
      <c r="G22" s="71">
        <f t="shared" si="8"/>
        <v>4797.25</v>
      </c>
      <c r="H22" s="72">
        <f t="shared" si="3"/>
        <v>20202.75</v>
      </c>
      <c r="I22" s="76">
        <f>1!$E$6+(H22-20000)*1!$B$7</f>
        <v>4458.7975</v>
      </c>
      <c r="J22" s="76">
        <f t="shared" si="4"/>
        <v>4458.7975</v>
      </c>
      <c r="K22" s="76">
        <f>1!$K$10+(H22-12000-8000)*5/100</f>
        <v>186.1375</v>
      </c>
      <c r="L22" s="70">
        <v>650</v>
      </c>
      <c r="M22" s="73">
        <f t="shared" si="5"/>
        <v>5294.9349999999995</v>
      </c>
      <c r="N22" s="74">
        <f t="shared" si="6"/>
        <v>14907.815</v>
      </c>
      <c r="O22" s="75">
        <f t="shared" si="7"/>
        <v>-0.40368740000000003</v>
      </c>
    </row>
    <row r="23" spans="1:15" ht="18">
      <c r="A23" s="69">
        <v>26000</v>
      </c>
      <c r="B23" s="70">
        <f>A23*1!$G$3</f>
        <v>5200</v>
      </c>
      <c r="C23" s="70">
        <f>A23*1!$H$3</f>
        <v>1807.0000000000002</v>
      </c>
      <c r="D23" s="70">
        <f>A23*1!$J$3</f>
        <v>1040</v>
      </c>
      <c r="E23" s="71">
        <f t="shared" si="1"/>
        <v>8047</v>
      </c>
      <c r="F23" s="71">
        <f>E23*37/100</f>
        <v>2977.39</v>
      </c>
      <c r="G23" s="71">
        <f t="shared" si="8"/>
        <v>5069.610000000001</v>
      </c>
      <c r="H23" s="72">
        <f t="shared" si="3"/>
        <v>20930.39</v>
      </c>
      <c r="I23" s="76">
        <f>1!$E$6+(H23-20000)*1!$B$7</f>
        <v>4669.813099999999</v>
      </c>
      <c r="J23" s="76">
        <f t="shared" si="4"/>
        <v>4669.813099999999</v>
      </c>
      <c r="K23" s="76">
        <f>1!$K$10+(H23-12000-8000)*5/100</f>
        <v>222.51949999999997</v>
      </c>
      <c r="L23" s="70">
        <v>650</v>
      </c>
      <c r="M23" s="73">
        <f t="shared" si="5"/>
        <v>5542.3326</v>
      </c>
      <c r="N23" s="74">
        <f t="shared" si="6"/>
        <v>15388.0574</v>
      </c>
      <c r="O23" s="75">
        <f t="shared" si="7"/>
        <v>-0.40815163846153846</v>
      </c>
    </row>
    <row r="24" spans="1:15" ht="18">
      <c r="A24" s="69">
        <v>27000</v>
      </c>
      <c r="B24" s="70">
        <f>A24*1!$G$3</f>
        <v>5400</v>
      </c>
      <c r="C24" s="70">
        <f>A24*1!$H$3</f>
        <v>1876.5000000000002</v>
      </c>
      <c r="D24" s="70">
        <f>A24*1!$J$3</f>
        <v>1080</v>
      </c>
      <c r="E24" s="71">
        <f t="shared" si="1"/>
        <v>8356.5</v>
      </c>
      <c r="F24" s="71">
        <f>E24*36/100</f>
        <v>3008.34</v>
      </c>
      <c r="G24" s="71">
        <f t="shared" si="8"/>
        <v>5348.16</v>
      </c>
      <c r="H24" s="82">
        <f t="shared" si="3"/>
        <v>21651.84</v>
      </c>
      <c r="I24" s="76">
        <f>1!$E$6+(H24-20000)*1!$B$7</f>
        <v>4879.0336</v>
      </c>
      <c r="J24" s="76">
        <f t="shared" si="4"/>
        <v>4879.0336</v>
      </c>
      <c r="K24" s="76">
        <f>1!$K$10+(H24-12000-8000)*5/100</f>
        <v>258.592</v>
      </c>
      <c r="L24" s="70">
        <v>650</v>
      </c>
      <c r="M24" s="73">
        <f t="shared" si="5"/>
        <v>5787.625599999999</v>
      </c>
      <c r="N24" s="74">
        <f t="shared" si="6"/>
        <v>15864.2144</v>
      </c>
      <c r="O24" s="75">
        <f t="shared" si="7"/>
        <v>-0.41243650370370366</v>
      </c>
    </row>
    <row r="25" spans="1:15" ht="18">
      <c r="A25" s="69">
        <v>28000</v>
      </c>
      <c r="B25" s="70">
        <f>A25*1!$G$3</f>
        <v>5600</v>
      </c>
      <c r="C25" s="70">
        <f>A25*1!$H$3</f>
        <v>1946.0000000000002</v>
      </c>
      <c r="D25" s="70">
        <f>A25*1!$J$3</f>
        <v>1120</v>
      </c>
      <c r="E25" s="71">
        <f t="shared" si="1"/>
        <v>8666</v>
      </c>
      <c r="F25" s="71">
        <f>E25*35/100</f>
        <v>3033.1</v>
      </c>
      <c r="G25" s="71">
        <f t="shared" si="8"/>
        <v>5632.9</v>
      </c>
      <c r="H25" s="72">
        <f t="shared" si="3"/>
        <v>22367.1</v>
      </c>
      <c r="I25" s="76">
        <f>1!$E$6+(H25-20000)*1!$B$7</f>
        <v>5086.459</v>
      </c>
      <c r="J25" s="76">
        <f t="shared" si="4"/>
        <v>5086.459</v>
      </c>
      <c r="K25" s="76">
        <f>1!$K$10+(H25-12000-8000)*5/100</f>
        <v>294.3549999999999</v>
      </c>
      <c r="L25" s="70">
        <v>650</v>
      </c>
      <c r="M25" s="73">
        <f t="shared" si="5"/>
        <v>6030.813999999999</v>
      </c>
      <c r="N25" s="74">
        <f t="shared" si="6"/>
        <v>16336.286</v>
      </c>
      <c r="O25" s="75">
        <f t="shared" si="7"/>
        <v>-0.41656121428571424</v>
      </c>
    </row>
    <row r="26" spans="1:15" ht="18">
      <c r="A26" s="69">
        <v>29000</v>
      </c>
      <c r="B26" s="70">
        <f>A26*1!$G$3</f>
        <v>5800</v>
      </c>
      <c r="C26" s="70">
        <f>A26*1!$H$3</f>
        <v>2015.5000000000002</v>
      </c>
      <c r="D26" s="70">
        <f>A26*1!$J$3</f>
        <v>1160</v>
      </c>
      <c r="E26" s="71">
        <f t="shared" si="1"/>
        <v>8975.5</v>
      </c>
      <c r="F26" s="71">
        <f>E26*34/100</f>
        <v>3051.67</v>
      </c>
      <c r="G26" s="71">
        <f t="shared" si="8"/>
        <v>5923.83</v>
      </c>
      <c r="H26" s="72">
        <f t="shared" si="3"/>
        <v>23076.17</v>
      </c>
      <c r="I26" s="76">
        <f>1!$E$6+(H26-20000)*1!$B$7</f>
        <v>5292.0893</v>
      </c>
      <c r="J26" s="76">
        <f t="shared" si="4"/>
        <v>5292.0893</v>
      </c>
      <c r="K26" s="76">
        <f>1!$K$10+(H26-12000-8000)*5/100</f>
        <v>329.8084999999999</v>
      </c>
      <c r="L26" s="70">
        <v>650</v>
      </c>
      <c r="M26" s="73">
        <f t="shared" si="5"/>
        <v>6271.8978</v>
      </c>
      <c r="N26" s="74">
        <f t="shared" si="6"/>
        <v>16804.2722</v>
      </c>
      <c r="O26" s="75">
        <f t="shared" si="7"/>
        <v>-0.42054233793103446</v>
      </c>
    </row>
    <row r="27" spans="1:15" ht="18">
      <c r="A27" s="69">
        <v>30000</v>
      </c>
      <c r="B27" s="70">
        <f>A27*1!$G$3</f>
        <v>6000</v>
      </c>
      <c r="C27" s="70">
        <f>A27*1!$H$3</f>
        <v>2085</v>
      </c>
      <c r="D27" s="70">
        <f>A27*1!$J$3</f>
        <v>1200</v>
      </c>
      <c r="E27" s="71">
        <f t="shared" si="1"/>
        <v>9285</v>
      </c>
      <c r="F27" s="71">
        <f>E27*33/100</f>
        <v>3064.05</v>
      </c>
      <c r="G27" s="71">
        <f t="shared" si="8"/>
        <v>6220.95</v>
      </c>
      <c r="H27" s="72">
        <f t="shared" si="3"/>
        <v>23779.05</v>
      </c>
      <c r="I27" s="76">
        <f>1!$E$6+(H27-20000)*1!$B$7</f>
        <v>5495.924499999999</v>
      </c>
      <c r="J27" s="76">
        <f t="shared" si="4"/>
        <v>5495.924499999999</v>
      </c>
      <c r="K27" s="76">
        <f>1!$K$10+(H27-12000-8000)*5/100</f>
        <v>364.9525</v>
      </c>
      <c r="L27" s="70">
        <v>650</v>
      </c>
      <c r="M27" s="73">
        <f t="shared" si="5"/>
        <v>6510.8769999999995</v>
      </c>
      <c r="N27" s="74">
        <f t="shared" si="6"/>
        <v>17268.173</v>
      </c>
      <c r="O27" s="75">
        <f t="shared" si="7"/>
        <v>-0.42439423333333337</v>
      </c>
    </row>
    <row r="28" spans="1:15" ht="18">
      <c r="A28" s="69">
        <v>31000</v>
      </c>
      <c r="B28" s="70">
        <f>A28*1!$G$3</f>
        <v>6200</v>
      </c>
      <c r="C28" s="70">
        <f>A28*1!$H$3</f>
        <v>2154.5</v>
      </c>
      <c r="D28" s="70">
        <f>A28*1!$J$3</f>
        <v>1240</v>
      </c>
      <c r="E28" s="71">
        <f t="shared" si="1"/>
        <v>9594.5</v>
      </c>
      <c r="F28" s="71">
        <f>E28*32/100</f>
        <v>3070.24</v>
      </c>
      <c r="G28" s="71">
        <f t="shared" si="8"/>
        <v>6524.26</v>
      </c>
      <c r="H28" s="72">
        <f t="shared" si="3"/>
        <v>24475.739999999998</v>
      </c>
      <c r="I28" s="76">
        <f>1!$E$6+(H28-20000)*1!$B$7</f>
        <v>5697.964599999999</v>
      </c>
      <c r="J28" s="76">
        <f t="shared" si="4"/>
        <v>5697.964599999999</v>
      </c>
      <c r="K28" s="76">
        <f>1!$K$10+(H28-12000-8000)*5/100</f>
        <v>399.7869999999999</v>
      </c>
      <c r="L28" s="70">
        <v>650</v>
      </c>
      <c r="M28" s="73">
        <f t="shared" si="5"/>
        <v>6747.7516</v>
      </c>
      <c r="N28" s="74">
        <f t="shared" si="6"/>
        <v>17727.9884</v>
      </c>
      <c r="O28" s="75">
        <f t="shared" si="7"/>
        <v>-0.4281294064516129</v>
      </c>
    </row>
    <row r="29" spans="1:15" ht="18">
      <c r="A29" s="69">
        <v>32000</v>
      </c>
      <c r="B29" s="70">
        <f>A29*1!$G$3</f>
        <v>6400</v>
      </c>
      <c r="C29" s="70">
        <f>A29*1!$H$3</f>
        <v>2224</v>
      </c>
      <c r="D29" s="70">
        <f>A29*1!$J$3</f>
        <v>1280</v>
      </c>
      <c r="E29" s="71">
        <f t="shared" si="1"/>
        <v>9904</v>
      </c>
      <c r="F29" s="71">
        <f>E29*31/100</f>
        <v>3070.24</v>
      </c>
      <c r="G29" s="71">
        <f t="shared" si="8"/>
        <v>6833.76</v>
      </c>
      <c r="H29" s="72">
        <f t="shared" si="3"/>
        <v>25166.239999999998</v>
      </c>
      <c r="I29" s="76">
        <f>1!$E$6+(H29-20000)*1!$B$7</f>
        <v>5898.209599999999</v>
      </c>
      <c r="J29" s="76">
        <f t="shared" si="4"/>
        <v>5898.209599999999</v>
      </c>
      <c r="K29" s="76">
        <f>1!$K$10+(H29-12000-8000)*5/100</f>
        <v>434.3119999999999</v>
      </c>
      <c r="L29" s="70">
        <v>650</v>
      </c>
      <c r="M29" s="73">
        <f t="shared" si="5"/>
        <v>6982.521599999999</v>
      </c>
      <c r="N29" s="74">
        <f t="shared" si="6"/>
        <v>18183.718399999998</v>
      </c>
      <c r="O29" s="75">
        <f t="shared" si="7"/>
        <v>-0.4317588000000001</v>
      </c>
    </row>
    <row r="30" spans="1:15" ht="18">
      <c r="A30" s="69">
        <v>33000</v>
      </c>
      <c r="B30" s="70">
        <f>A30*1!$G$3</f>
        <v>6600</v>
      </c>
      <c r="C30" s="70">
        <f>A30*1!$H$3</f>
        <v>2293.5</v>
      </c>
      <c r="D30" s="70">
        <f>A30*1!$J$3</f>
        <v>1320</v>
      </c>
      <c r="E30" s="71">
        <f t="shared" si="1"/>
        <v>10213.5</v>
      </c>
      <c r="F30" s="71">
        <f>E30*30/100</f>
        <v>3064.05</v>
      </c>
      <c r="G30" s="71">
        <f t="shared" si="8"/>
        <v>7149.45</v>
      </c>
      <c r="H30" s="72">
        <f t="shared" si="3"/>
        <v>25850.55</v>
      </c>
      <c r="I30" s="76">
        <f>1!$E$6+(H30-20000)*1!$B$7</f>
        <v>6096.6595</v>
      </c>
      <c r="J30" s="76">
        <f t="shared" si="4"/>
        <v>6096.6595</v>
      </c>
      <c r="K30" s="76">
        <f>1!$K$10+(H30-12000-8000)*5/100</f>
        <v>468.5275</v>
      </c>
      <c r="L30" s="70">
        <v>650</v>
      </c>
      <c r="M30" s="73">
        <f t="shared" si="5"/>
        <v>7215.187</v>
      </c>
      <c r="N30" s="74">
        <f t="shared" si="6"/>
        <v>18635.362999999998</v>
      </c>
      <c r="O30" s="75">
        <f t="shared" si="7"/>
        <v>-0.43529203030303043</v>
      </c>
    </row>
    <row r="31" spans="1:15" ht="18">
      <c r="A31" s="69">
        <v>34000</v>
      </c>
      <c r="B31" s="70">
        <f>A31*1!$G$3</f>
        <v>6800</v>
      </c>
      <c r="C31" s="70">
        <f>A31*1!$H$3</f>
        <v>2363</v>
      </c>
      <c r="D31" s="70">
        <f>A31*1!$J$3</f>
        <v>1360</v>
      </c>
      <c r="E31" s="71">
        <f t="shared" si="1"/>
        <v>10523</v>
      </c>
      <c r="F31" s="71">
        <f>E31*29/100</f>
        <v>3051.67</v>
      </c>
      <c r="G31" s="71">
        <f t="shared" si="8"/>
        <v>7471.33</v>
      </c>
      <c r="H31" s="72">
        <f t="shared" si="3"/>
        <v>26528.67</v>
      </c>
      <c r="I31" s="76">
        <f>1!$E$6+(H31-20000)*1!$B$7</f>
        <v>6293.314299999999</v>
      </c>
      <c r="J31" s="76">
        <f t="shared" si="4"/>
        <v>6293.314299999999</v>
      </c>
      <c r="K31" s="76">
        <f>1!$K$10+(H31-12000-8000)*5/100</f>
        <v>502.4334999999999</v>
      </c>
      <c r="L31" s="70">
        <v>650</v>
      </c>
      <c r="M31" s="73">
        <f t="shared" si="5"/>
        <v>7445.747799999999</v>
      </c>
      <c r="N31" s="74">
        <f t="shared" si="6"/>
        <v>19082.9222</v>
      </c>
      <c r="O31" s="75">
        <f t="shared" si="7"/>
        <v>-0.43873758235294114</v>
      </c>
    </row>
    <row r="32" spans="1:15" ht="18">
      <c r="A32" s="69">
        <v>35000</v>
      </c>
      <c r="B32" s="70">
        <f>A32*1!$G$3</f>
        <v>7000</v>
      </c>
      <c r="C32" s="70">
        <f>A32*1!$H$3</f>
        <v>2432.5</v>
      </c>
      <c r="D32" s="70">
        <f>A32*1!$J$3</f>
        <v>1400</v>
      </c>
      <c r="E32" s="71">
        <f t="shared" si="1"/>
        <v>10832.5</v>
      </c>
      <c r="F32" s="71">
        <f>E32*28/100</f>
        <v>3033.1</v>
      </c>
      <c r="G32" s="71">
        <f t="shared" si="8"/>
        <v>7799.4</v>
      </c>
      <c r="H32" s="72">
        <f t="shared" si="3"/>
        <v>27200.6</v>
      </c>
      <c r="I32" s="76">
        <f>1!$E$6+(H32-20000)*1!$B$7</f>
        <v>6488.173999999999</v>
      </c>
      <c r="J32" s="76">
        <f t="shared" si="4"/>
        <v>6488.173999999999</v>
      </c>
      <c r="K32" s="76">
        <f>1!$K$10+(H32-12000-8000)*5/100</f>
        <v>536.03</v>
      </c>
      <c r="L32" s="70">
        <v>650</v>
      </c>
      <c r="M32" s="73">
        <f t="shared" si="5"/>
        <v>7674.203999999999</v>
      </c>
      <c r="N32" s="74">
        <f t="shared" si="6"/>
        <v>19526.396</v>
      </c>
      <c r="O32" s="75">
        <f t="shared" si="7"/>
        <v>-0.44210297142857136</v>
      </c>
    </row>
    <row r="33" spans="1:15" ht="18">
      <c r="A33" s="69">
        <v>36000</v>
      </c>
      <c r="B33" s="70">
        <f>A33*1!$G$3</f>
        <v>7200</v>
      </c>
      <c r="C33" s="70">
        <f>A33*1!$H$3</f>
        <v>2502</v>
      </c>
      <c r="D33" s="70">
        <f>A33*1!$J$3</f>
        <v>1440</v>
      </c>
      <c r="E33" s="71">
        <f t="shared" si="1"/>
        <v>11142</v>
      </c>
      <c r="F33" s="71">
        <f>E33*27/100</f>
        <v>3008.34</v>
      </c>
      <c r="G33" s="71">
        <f t="shared" si="8"/>
        <v>8133.66</v>
      </c>
      <c r="H33" s="72">
        <f t="shared" si="3"/>
        <v>27866.34</v>
      </c>
      <c r="I33" s="76">
        <f>1!$E$6+(H33-20000)*1!$B$7</f>
        <v>6681.2386</v>
      </c>
      <c r="J33" s="76">
        <f t="shared" si="4"/>
        <v>6681.2386</v>
      </c>
      <c r="K33" s="76">
        <f>1!$K$10+(H33-12000-8000)*5/100</f>
        <v>569.317</v>
      </c>
      <c r="L33" s="70">
        <v>650</v>
      </c>
      <c r="M33" s="73">
        <f t="shared" si="5"/>
        <v>7900.5556</v>
      </c>
      <c r="N33" s="74">
        <f t="shared" si="6"/>
        <v>19965.7844</v>
      </c>
      <c r="O33" s="75">
        <f t="shared" si="7"/>
        <v>-0.44539487777777775</v>
      </c>
    </row>
    <row r="34" spans="1:15" ht="18">
      <c r="A34" s="69">
        <v>37000</v>
      </c>
      <c r="B34" s="70">
        <f>A34*1!$G$3</f>
        <v>7400</v>
      </c>
      <c r="C34" s="70">
        <f>A34*1!$H$3</f>
        <v>2571.5000000000005</v>
      </c>
      <c r="D34" s="70">
        <f>A34*1!$J$3</f>
        <v>1480</v>
      </c>
      <c r="E34" s="71">
        <f t="shared" si="1"/>
        <v>11451.5</v>
      </c>
      <c r="F34" s="71">
        <f>E34*26/100</f>
        <v>2977.39</v>
      </c>
      <c r="G34" s="71">
        <f t="shared" si="8"/>
        <v>8474.11</v>
      </c>
      <c r="H34" s="72">
        <f t="shared" si="3"/>
        <v>28525.89</v>
      </c>
      <c r="I34" s="76">
        <f>1!$E$6+(H34-20000)*1!$B$7</f>
        <v>6872.508099999999</v>
      </c>
      <c r="J34" s="76">
        <f t="shared" si="4"/>
        <v>6872.508099999999</v>
      </c>
      <c r="K34" s="76">
        <f>1!$K$10+(H34-12000-8000)*5/100</f>
        <v>602.2945</v>
      </c>
      <c r="L34" s="70">
        <v>650</v>
      </c>
      <c r="M34" s="73">
        <f t="shared" si="5"/>
        <v>8124.802599999999</v>
      </c>
      <c r="N34" s="74">
        <f t="shared" si="6"/>
        <v>20401.0874</v>
      </c>
      <c r="O34" s="75">
        <f t="shared" si="7"/>
        <v>-0.44861925945945946</v>
      </c>
    </row>
    <row r="35" spans="1:15" ht="18">
      <c r="A35" s="69">
        <v>38000</v>
      </c>
      <c r="B35" s="70">
        <f>A35*1!$G$3</f>
        <v>7600</v>
      </c>
      <c r="C35" s="70">
        <f>A35*1!$H$3</f>
        <v>2641.0000000000005</v>
      </c>
      <c r="D35" s="70">
        <f>A35*1!$J$3</f>
        <v>1520</v>
      </c>
      <c r="E35" s="71">
        <f t="shared" si="1"/>
        <v>11761</v>
      </c>
      <c r="F35" s="71">
        <f>E35*25/100</f>
        <v>2940.25</v>
      </c>
      <c r="G35" s="71">
        <f t="shared" si="8"/>
        <v>8820.75</v>
      </c>
      <c r="H35" s="72">
        <f t="shared" si="3"/>
        <v>29179.25</v>
      </c>
      <c r="I35" s="76">
        <f>1!$E$6+(H35-20000)*1!$B$7</f>
        <v>7061.9825</v>
      </c>
      <c r="J35" s="76">
        <f t="shared" si="4"/>
        <v>7061.9825</v>
      </c>
      <c r="K35" s="76">
        <f>1!$K$10+(H35-12000-8000)*5/100</f>
        <v>634.9625</v>
      </c>
      <c r="L35" s="70">
        <v>650</v>
      </c>
      <c r="M35" s="73">
        <f t="shared" si="5"/>
        <v>8346.945</v>
      </c>
      <c r="N35" s="74">
        <f t="shared" si="6"/>
        <v>20832.305</v>
      </c>
      <c r="O35" s="75">
        <f t="shared" si="7"/>
        <v>-0.4517814473684211</v>
      </c>
    </row>
    <row r="36" spans="1:15" ht="18">
      <c r="A36" s="69">
        <v>39000</v>
      </c>
      <c r="B36" s="70">
        <f>A36*1!$G$3</f>
        <v>7800</v>
      </c>
      <c r="C36" s="70">
        <f>A36*1!$H$3</f>
        <v>2710.5000000000005</v>
      </c>
      <c r="D36" s="70">
        <f>A36*1!$J$3</f>
        <v>1560</v>
      </c>
      <c r="E36" s="71">
        <f t="shared" si="1"/>
        <v>12070.5</v>
      </c>
      <c r="F36" s="71">
        <f>E36*24/100</f>
        <v>2896.92</v>
      </c>
      <c r="G36" s="71">
        <f t="shared" si="8"/>
        <v>9173.58</v>
      </c>
      <c r="H36" s="72">
        <f t="shared" si="3"/>
        <v>29826.42</v>
      </c>
      <c r="I36" s="76">
        <f>1!$E$6+(H36-20000)*1!$B$7</f>
        <v>7249.6618</v>
      </c>
      <c r="J36" s="76">
        <f t="shared" si="4"/>
        <v>7249.6618</v>
      </c>
      <c r="K36" s="76">
        <f>1!$K$10+(H36-12000-8000)*5/100</f>
        <v>667.3209999999999</v>
      </c>
      <c r="L36" s="70">
        <v>650</v>
      </c>
      <c r="M36" s="73">
        <f t="shared" si="5"/>
        <v>8566.9828</v>
      </c>
      <c r="N36" s="74">
        <f t="shared" si="6"/>
        <v>21259.4372</v>
      </c>
      <c r="O36" s="75">
        <f t="shared" si="7"/>
        <v>-0.45488622564102565</v>
      </c>
    </row>
    <row r="37" spans="1:15" ht="18">
      <c r="A37" s="69">
        <v>40000</v>
      </c>
      <c r="B37" s="70">
        <f>A37*1!$G$3</f>
        <v>8000</v>
      </c>
      <c r="C37" s="70">
        <f>A37*1!$H$3</f>
        <v>2780.0000000000005</v>
      </c>
      <c r="D37" s="70">
        <f>A37*1!$J$3</f>
        <v>1600</v>
      </c>
      <c r="E37" s="71">
        <f t="shared" si="1"/>
        <v>12380</v>
      </c>
      <c r="F37" s="71">
        <f>E37*23/100</f>
        <v>2847.4</v>
      </c>
      <c r="G37" s="71">
        <f t="shared" si="8"/>
        <v>9532.6</v>
      </c>
      <c r="H37" s="72">
        <f t="shared" si="3"/>
        <v>30467.4</v>
      </c>
      <c r="I37" s="76">
        <f>1!$E$7+(H37-30000)*1!$B$8</f>
        <v>7472.938</v>
      </c>
      <c r="J37" s="76">
        <f t="shared" si="4"/>
        <v>7472.938</v>
      </c>
      <c r="K37" s="76">
        <f>1!$K$11+(H37-12000-8000-10000)*6.5/100</f>
        <v>706.3810000000001</v>
      </c>
      <c r="L37" s="70">
        <v>650</v>
      </c>
      <c r="M37" s="73">
        <f t="shared" si="5"/>
        <v>8829.319</v>
      </c>
      <c r="N37" s="74">
        <f t="shared" si="6"/>
        <v>21638.081000000002</v>
      </c>
      <c r="O37" s="75">
        <f t="shared" si="7"/>
        <v>-0.45904797499999994</v>
      </c>
    </row>
    <row r="38" spans="1:15" ht="18">
      <c r="A38" s="69">
        <v>41000</v>
      </c>
      <c r="B38" s="70">
        <f>A38*1!$G$3</f>
        <v>8200</v>
      </c>
      <c r="C38" s="70">
        <f>A38*1!$H$3</f>
        <v>2849.5000000000005</v>
      </c>
      <c r="D38" s="70">
        <f>A38*1!$J$3</f>
        <v>1640</v>
      </c>
      <c r="E38" s="71">
        <f t="shared" si="1"/>
        <v>12689.5</v>
      </c>
      <c r="F38" s="71">
        <f>E38*22/100</f>
        <v>2791.69</v>
      </c>
      <c r="G38" s="71">
        <f t="shared" si="8"/>
        <v>9897.81</v>
      </c>
      <c r="H38" s="72">
        <f t="shared" si="3"/>
        <v>31102.190000000002</v>
      </c>
      <c r="I38" s="76">
        <f>1!$E$7+(H38-30000)*1!$B$8</f>
        <v>7707.810300000001</v>
      </c>
      <c r="J38" s="76">
        <f t="shared" si="4"/>
        <v>7707.810300000001</v>
      </c>
      <c r="K38" s="76">
        <f>1!$K$11+(H38-12000-8000-10000)*6.5/100</f>
        <v>747.6423500000002</v>
      </c>
      <c r="L38" s="70">
        <v>650</v>
      </c>
      <c r="M38" s="73">
        <f t="shared" si="5"/>
        <v>9105.452650000001</v>
      </c>
      <c r="N38" s="74">
        <f t="shared" si="6"/>
        <v>21996.737350000003</v>
      </c>
      <c r="O38" s="75">
        <f t="shared" si="7"/>
        <v>-0.4634942109756097</v>
      </c>
    </row>
    <row r="39" spans="1:15" ht="18">
      <c r="A39" s="69">
        <v>42000</v>
      </c>
      <c r="B39" s="70">
        <f>A39*1!$G$3</f>
        <v>8400</v>
      </c>
      <c r="C39" s="70">
        <f>A39*1!$H$3</f>
        <v>2919.0000000000005</v>
      </c>
      <c r="D39" s="70">
        <f>A39*1!$J$3</f>
        <v>1680</v>
      </c>
      <c r="E39" s="71">
        <f t="shared" si="1"/>
        <v>12999</v>
      </c>
      <c r="F39" s="71">
        <f>E39*21/100</f>
        <v>2729.79</v>
      </c>
      <c r="G39" s="71">
        <f t="shared" si="8"/>
        <v>10269.21</v>
      </c>
      <c r="H39" s="72">
        <f t="shared" si="3"/>
        <v>31730.79</v>
      </c>
      <c r="I39" s="76">
        <f>1!$E$7+(H39-30000)*1!$B$8</f>
        <v>7940.3923</v>
      </c>
      <c r="J39" s="76">
        <f t="shared" si="4"/>
        <v>7940.3923</v>
      </c>
      <c r="K39" s="76">
        <f>1!$K$11+(H39-12000-8000-10000)*6.5/100</f>
        <v>788.50135</v>
      </c>
      <c r="L39" s="70">
        <v>650</v>
      </c>
      <c r="M39" s="73">
        <f t="shared" si="5"/>
        <v>9378.89365</v>
      </c>
      <c r="N39" s="74">
        <f t="shared" si="6"/>
        <v>22351.896350000003</v>
      </c>
      <c r="O39" s="75">
        <f t="shared" si="7"/>
        <v>-0.46781199166666665</v>
      </c>
    </row>
    <row r="40" spans="1:15" ht="18">
      <c r="A40" s="69">
        <v>43000</v>
      </c>
      <c r="B40" s="70">
        <f>A40*1!$G$3</f>
        <v>8600</v>
      </c>
      <c r="C40" s="70">
        <f>A40*1!$H$3</f>
        <v>2988.5000000000005</v>
      </c>
      <c r="D40" s="70">
        <f>A40*1!$J$3</f>
        <v>1720</v>
      </c>
      <c r="E40" s="71">
        <f t="shared" si="1"/>
        <v>13308.5</v>
      </c>
      <c r="F40" s="71">
        <f>E40*20/100</f>
        <v>2661.7</v>
      </c>
      <c r="G40" s="71">
        <f t="shared" si="8"/>
        <v>10646.8</v>
      </c>
      <c r="H40" s="72">
        <f t="shared" si="3"/>
        <v>32353.2</v>
      </c>
      <c r="I40" s="76">
        <f>1!$E$7+(H40-30000)*1!$B$8</f>
        <v>8170.684</v>
      </c>
      <c r="J40" s="76">
        <f t="shared" si="4"/>
        <v>8170.684</v>
      </c>
      <c r="K40" s="76">
        <f>1!$K$11+(H40-12000-8000-10000)*6.5/100</f>
        <v>828.9580000000001</v>
      </c>
      <c r="L40" s="70">
        <v>650</v>
      </c>
      <c r="M40" s="73">
        <f t="shared" si="5"/>
        <v>9649.642</v>
      </c>
      <c r="N40" s="74">
        <f t="shared" si="6"/>
        <v>22703.558</v>
      </c>
      <c r="O40" s="75">
        <f t="shared" si="7"/>
        <v>-0.47201027906976745</v>
      </c>
    </row>
    <row r="41" spans="1:15" ht="18">
      <c r="A41" s="69">
        <v>44000</v>
      </c>
      <c r="B41" s="70">
        <f>A41*1!$G$3</f>
        <v>8800</v>
      </c>
      <c r="C41" s="70">
        <f>A41*1!$H$3</f>
        <v>3058.0000000000005</v>
      </c>
      <c r="D41" s="70">
        <f>A41*1!$J$3</f>
        <v>1760</v>
      </c>
      <c r="E41" s="71">
        <f t="shared" si="1"/>
        <v>13618</v>
      </c>
      <c r="F41" s="71">
        <f>E41*19/100</f>
        <v>2587.42</v>
      </c>
      <c r="G41" s="71">
        <f t="shared" si="8"/>
        <v>11030.58</v>
      </c>
      <c r="H41" s="72">
        <f t="shared" si="3"/>
        <v>32969.42</v>
      </c>
      <c r="I41" s="76">
        <f>1!$E$7+(H41-30000)*1!$B$8</f>
        <v>8398.685399999998</v>
      </c>
      <c r="J41" s="76">
        <f t="shared" si="4"/>
        <v>8398.685399999998</v>
      </c>
      <c r="K41" s="76">
        <f>1!$K$11+(H41-12000-8000-10000)*6.5/100</f>
        <v>869.0122999999999</v>
      </c>
      <c r="L41" s="70">
        <v>650</v>
      </c>
      <c r="M41" s="73">
        <f t="shared" si="5"/>
        <v>9917.697699999999</v>
      </c>
      <c r="N41" s="74">
        <f t="shared" si="6"/>
        <v>23051.7223</v>
      </c>
      <c r="O41" s="75">
        <f t="shared" si="7"/>
        <v>-0.4760972204545454</v>
      </c>
    </row>
    <row r="42" spans="1:15" ht="18">
      <c r="A42" s="69">
        <v>45000</v>
      </c>
      <c r="B42" s="70">
        <f>A42*1!$G$3</f>
        <v>9000</v>
      </c>
      <c r="C42" s="70">
        <f>A42*1!$H$3</f>
        <v>3127.5000000000005</v>
      </c>
      <c r="D42" s="70">
        <f>A42*1!$J$3</f>
        <v>1800</v>
      </c>
      <c r="E42" s="71">
        <f t="shared" si="1"/>
        <v>13927.5</v>
      </c>
      <c r="F42" s="71">
        <f>E42*18/100</f>
        <v>2506.95</v>
      </c>
      <c r="G42" s="71">
        <f t="shared" si="8"/>
        <v>11420.55</v>
      </c>
      <c r="H42" s="72">
        <f t="shared" si="3"/>
        <v>33579.45</v>
      </c>
      <c r="I42" s="76">
        <f>1!$E$7+(H42-30000)*1!$B$8</f>
        <v>8624.396499999999</v>
      </c>
      <c r="J42" s="76">
        <f t="shared" si="4"/>
        <v>8624.396499999999</v>
      </c>
      <c r="K42" s="76">
        <f>1!$K$11+(H42-12000-8000-10000)*6.5/100</f>
        <v>908.6642499999998</v>
      </c>
      <c r="L42" s="70">
        <v>650</v>
      </c>
      <c r="M42" s="73">
        <f t="shared" si="5"/>
        <v>10183.060749999999</v>
      </c>
      <c r="N42" s="74">
        <f t="shared" si="6"/>
        <v>23396.38925</v>
      </c>
      <c r="O42" s="75">
        <f t="shared" si="7"/>
        <v>-0.48008023888888884</v>
      </c>
    </row>
    <row r="43" spans="1:15" ht="18">
      <c r="A43" s="69">
        <v>46000</v>
      </c>
      <c r="B43" s="70">
        <f>A43*1!$G$3</f>
        <v>9200</v>
      </c>
      <c r="C43" s="70">
        <f>A43*1!$H$3</f>
        <v>3197.0000000000005</v>
      </c>
      <c r="D43" s="70">
        <f>A43*1!$J$3</f>
        <v>1840</v>
      </c>
      <c r="E43" s="71">
        <f t="shared" si="1"/>
        <v>14237</v>
      </c>
      <c r="F43" s="71">
        <f>E43*17/100</f>
        <v>2420.29</v>
      </c>
      <c r="G43" s="71">
        <f t="shared" si="8"/>
        <v>11816.71</v>
      </c>
      <c r="H43" s="72">
        <f t="shared" si="3"/>
        <v>34183.29</v>
      </c>
      <c r="I43" s="76">
        <f>1!$E$7+(H43-30000)*1!$B$8</f>
        <v>8847.8173</v>
      </c>
      <c r="J43" s="76">
        <f t="shared" si="4"/>
        <v>8847.8173</v>
      </c>
      <c r="K43" s="76">
        <f>1!$K$11+(H43-12000-8000-10000)*6.5/100</f>
        <v>947.9138500000001</v>
      </c>
      <c r="L43" s="70">
        <v>650</v>
      </c>
      <c r="M43" s="73">
        <f t="shared" si="5"/>
        <v>10445.731150000001</v>
      </c>
      <c r="N43" s="74">
        <f t="shared" si="6"/>
        <v>23737.55885</v>
      </c>
      <c r="O43" s="75">
        <f t="shared" si="7"/>
        <v>-0.4839661119565217</v>
      </c>
    </row>
    <row r="44" spans="1:15" ht="18">
      <c r="A44" s="69">
        <v>47000</v>
      </c>
      <c r="B44" s="70">
        <f>A44*1!$G$3</f>
        <v>9400</v>
      </c>
      <c r="C44" s="70">
        <f>A44*1!$H$3</f>
        <v>3266.5000000000005</v>
      </c>
      <c r="D44" s="70">
        <f>A44*1!$J$3</f>
        <v>1880</v>
      </c>
      <c r="E44" s="71">
        <f t="shared" si="1"/>
        <v>14546.5</v>
      </c>
      <c r="F44" s="71">
        <f>E44*16/100</f>
        <v>2327.44</v>
      </c>
      <c r="G44" s="71">
        <f t="shared" si="8"/>
        <v>12219.06</v>
      </c>
      <c r="H44" s="72">
        <f t="shared" si="3"/>
        <v>34780.94</v>
      </c>
      <c r="I44" s="76">
        <f>1!$E$7+(H44-30000)*1!$B$8</f>
        <v>9068.947800000002</v>
      </c>
      <c r="J44" s="76">
        <f t="shared" si="4"/>
        <v>9068.947800000002</v>
      </c>
      <c r="K44" s="76">
        <f>1!$K$11+(H44-12000-8000-10000)*6.5/100</f>
        <v>986.7611000000002</v>
      </c>
      <c r="L44" s="70">
        <v>650</v>
      </c>
      <c r="M44" s="73">
        <f t="shared" si="5"/>
        <v>10705.708900000001</v>
      </c>
      <c r="N44" s="74">
        <f t="shared" si="6"/>
        <v>24075.2311</v>
      </c>
      <c r="O44" s="75">
        <f t="shared" si="7"/>
        <v>-0.4877610404255319</v>
      </c>
    </row>
    <row r="45" spans="1:15" ht="18">
      <c r="A45" s="69">
        <v>48000</v>
      </c>
      <c r="B45" s="70">
        <f>A45*1!$G$3</f>
        <v>9600</v>
      </c>
      <c r="C45" s="70">
        <f>A45*1!$H$3</f>
        <v>3336.0000000000005</v>
      </c>
      <c r="D45" s="70">
        <f>A45*1!$J$3</f>
        <v>1920</v>
      </c>
      <c r="E45" s="71">
        <f t="shared" si="1"/>
        <v>14856</v>
      </c>
      <c r="F45" s="71">
        <f>E45*15/100</f>
        <v>2228.4</v>
      </c>
      <c r="G45" s="71">
        <f t="shared" si="8"/>
        <v>12627.6</v>
      </c>
      <c r="H45" s="72">
        <f t="shared" si="3"/>
        <v>35372.4</v>
      </c>
      <c r="I45" s="76">
        <f>1!$E$7+(H45-30000)*1!$B$8</f>
        <v>9287.788</v>
      </c>
      <c r="J45" s="76">
        <f t="shared" si="4"/>
        <v>9287.788</v>
      </c>
      <c r="K45" s="76">
        <f>1!$K$11+(H45-12000-8000-10000)*6.5/100</f>
        <v>1025.2060000000001</v>
      </c>
      <c r="L45" s="70">
        <v>650</v>
      </c>
      <c r="M45" s="73">
        <f t="shared" si="5"/>
        <v>10962.994</v>
      </c>
      <c r="N45" s="74">
        <f t="shared" si="6"/>
        <v>24409.406000000003</v>
      </c>
      <c r="O45" s="75">
        <f t="shared" si="7"/>
        <v>-0.4914707083333333</v>
      </c>
    </row>
    <row r="46" spans="1:15" ht="18">
      <c r="A46" s="69">
        <v>49000</v>
      </c>
      <c r="B46" s="70">
        <f>A46*1!$G$3</f>
        <v>9800</v>
      </c>
      <c r="C46" s="70">
        <f>A46*1!$H$3</f>
        <v>3405.5000000000005</v>
      </c>
      <c r="D46" s="70">
        <f>A46*1!$J$3</f>
        <v>1960</v>
      </c>
      <c r="E46" s="71">
        <f t="shared" si="1"/>
        <v>15165.5</v>
      </c>
      <c r="F46" s="71">
        <f>E46*14/100</f>
        <v>2123.17</v>
      </c>
      <c r="G46" s="71">
        <f t="shared" si="8"/>
        <v>13042.33</v>
      </c>
      <c r="H46" s="82">
        <f t="shared" si="3"/>
        <v>35957.67</v>
      </c>
      <c r="I46" s="76">
        <f>1!$E$7+(H46-30000)*1!$B$8</f>
        <v>9504.337899999999</v>
      </c>
      <c r="J46" s="76">
        <f t="shared" si="4"/>
        <v>9504.337899999999</v>
      </c>
      <c r="K46" s="76">
        <f>1!$K$11+(H46-12000-8000-10000)*6.5/100</f>
        <v>1063.2485499999998</v>
      </c>
      <c r="L46" s="70">
        <v>650</v>
      </c>
      <c r="M46" s="73">
        <f t="shared" si="5"/>
        <v>11217.586449999999</v>
      </c>
      <c r="N46" s="74">
        <f t="shared" si="6"/>
        <v>24740.08355</v>
      </c>
      <c r="O46" s="75">
        <f t="shared" si="7"/>
        <v>-0.4951003357142857</v>
      </c>
    </row>
    <row r="47" spans="1:15" ht="18">
      <c r="A47" s="69">
        <v>50000</v>
      </c>
      <c r="B47" s="70">
        <f>A47*1!$G$3</f>
        <v>10000</v>
      </c>
      <c r="C47" s="70">
        <f>A47*1!$H$3</f>
        <v>3475.0000000000005</v>
      </c>
      <c r="D47" s="70">
        <f>A47*1!$J$3</f>
        <v>2000</v>
      </c>
      <c r="E47" s="71">
        <f t="shared" si="1"/>
        <v>15475</v>
      </c>
      <c r="F47" s="71">
        <f>E47*13/100</f>
        <v>2011.75</v>
      </c>
      <c r="G47" s="71">
        <f t="shared" si="8"/>
        <v>13463.25</v>
      </c>
      <c r="H47" s="72">
        <f t="shared" si="3"/>
        <v>36536.75</v>
      </c>
      <c r="I47" s="76">
        <f>1!$E$7+(H47-30000)*1!$B$8</f>
        <v>9718.5975</v>
      </c>
      <c r="J47" s="76">
        <f t="shared" si="4"/>
        <v>9718.5975</v>
      </c>
      <c r="K47" s="76">
        <f>1!$K$11+(H47-12000-8000-10000)*6.5/100</f>
        <v>1100.88875</v>
      </c>
      <c r="L47" s="70">
        <v>650</v>
      </c>
      <c r="M47" s="73">
        <f t="shared" si="5"/>
        <v>11469.48625</v>
      </c>
      <c r="N47" s="74">
        <f t="shared" si="6"/>
        <v>25067.26375</v>
      </c>
      <c r="O47" s="75">
        <f t="shared" si="7"/>
        <v>-0.4986547250000001</v>
      </c>
    </row>
    <row r="48" spans="1:15" ht="18">
      <c r="A48" s="69">
        <v>51000</v>
      </c>
      <c r="B48" s="70">
        <f>A48*1!$G$3</f>
        <v>10200</v>
      </c>
      <c r="C48" s="70">
        <f>A48*1!$H$3</f>
        <v>3544.5000000000005</v>
      </c>
      <c r="D48" s="70">
        <f>A48*1!$J$3</f>
        <v>2040</v>
      </c>
      <c r="E48" s="71">
        <f t="shared" si="1"/>
        <v>15784.5</v>
      </c>
      <c r="F48" s="71">
        <f>E48*12/100</f>
        <v>1894.14</v>
      </c>
      <c r="G48" s="71">
        <f t="shared" si="8"/>
        <v>13890.36</v>
      </c>
      <c r="H48" s="72">
        <f t="shared" si="3"/>
        <v>37109.64</v>
      </c>
      <c r="I48" s="76">
        <f>1!$E$7+(H48-30000)*1!$B$8</f>
        <v>9930.5668</v>
      </c>
      <c r="J48" s="76">
        <f t="shared" si="4"/>
        <v>9930.5668</v>
      </c>
      <c r="K48" s="76">
        <f>1!$K$11+(H48-12000-8000-10000)*6.5/100</f>
        <v>1138.1266</v>
      </c>
      <c r="L48" s="70">
        <v>650</v>
      </c>
      <c r="M48" s="73">
        <f t="shared" si="5"/>
        <v>11718.6934</v>
      </c>
      <c r="N48" s="74">
        <f t="shared" si="6"/>
        <v>25390.9466</v>
      </c>
      <c r="O48" s="75">
        <f t="shared" si="7"/>
        <v>-0.5021383019607844</v>
      </c>
    </row>
    <row r="49" spans="1:15" ht="18">
      <c r="A49" s="69">
        <v>52000</v>
      </c>
      <c r="B49" s="70">
        <f>A49*1!$G$3</f>
        <v>10400</v>
      </c>
      <c r="C49" s="70">
        <f>A49*1!$H$3</f>
        <v>3614.0000000000005</v>
      </c>
      <c r="D49" s="70">
        <f>A49*1!$J$3</f>
        <v>2080</v>
      </c>
      <c r="E49" s="71">
        <f t="shared" si="1"/>
        <v>16094</v>
      </c>
      <c r="F49" s="71">
        <f>E49*11/100</f>
        <v>1770.34</v>
      </c>
      <c r="G49" s="71">
        <f t="shared" si="8"/>
        <v>14323.66</v>
      </c>
      <c r="H49" s="72">
        <f t="shared" si="3"/>
        <v>37676.34</v>
      </c>
      <c r="I49" s="76">
        <f>1!$E$7+(H49-30000)*1!$B$8</f>
        <v>10140.245799999999</v>
      </c>
      <c r="J49" s="76">
        <f t="shared" si="4"/>
        <v>10140.245799999999</v>
      </c>
      <c r="K49" s="76">
        <f>1!$K$11+(H49-12000-8000-10000)*6.5/100</f>
        <v>1174.9620999999997</v>
      </c>
      <c r="L49" s="70">
        <v>650</v>
      </c>
      <c r="M49" s="73">
        <f t="shared" si="5"/>
        <v>11965.207899999998</v>
      </c>
      <c r="N49" s="74">
        <f t="shared" si="6"/>
        <v>25711.1321</v>
      </c>
      <c r="O49" s="75">
        <f t="shared" si="7"/>
        <v>-0.505555151923077</v>
      </c>
    </row>
    <row r="50" spans="1:15" ht="18">
      <c r="A50" s="69">
        <v>53000</v>
      </c>
      <c r="B50" s="70">
        <f>A50*1!$G$3</f>
        <v>10600</v>
      </c>
      <c r="C50" s="70">
        <f>A50*1!$H$3</f>
        <v>3683.5000000000005</v>
      </c>
      <c r="D50" s="70">
        <f>A50*1!$J$3</f>
        <v>2120</v>
      </c>
      <c r="E50" s="71">
        <f t="shared" si="1"/>
        <v>16403.5</v>
      </c>
      <c r="F50" s="71">
        <f>E50*10/100</f>
        <v>1640.35</v>
      </c>
      <c r="G50" s="71">
        <f t="shared" si="8"/>
        <v>14763.15</v>
      </c>
      <c r="H50" s="72">
        <f t="shared" si="3"/>
        <v>38236.85</v>
      </c>
      <c r="I50" s="76">
        <f>1!$E$7+(H50-30000)*1!$B$8</f>
        <v>10347.6345</v>
      </c>
      <c r="J50" s="76">
        <f t="shared" si="4"/>
        <v>10347.6345</v>
      </c>
      <c r="K50" s="76">
        <f>1!$K$11+(H50-12000-8000-10000)*6.5/100</f>
        <v>1211.39525</v>
      </c>
      <c r="L50" s="70">
        <v>650</v>
      </c>
      <c r="M50" s="73">
        <f t="shared" si="5"/>
        <v>12209.02975</v>
      </c>
      <c r="N50" s="74">
        <f t="shared" si="6"/>
        <v>26027.820249999997</v>
      </c>
      <c r="O50" s="75">
        <f t="shared" si="7"/>
        <v>-0.5089090518867925</v>
      </c>
    </row>
    <row r="51" spans="1:15" ht="18">
      <c r="A51" s="69">
        <v>54000</v>
      </c>
      <c r="B51" s="70">
        <f>A51*1!$G$3</f>
        <v>10800</v>
      </c>
      <c r="C51" s="70">
        <f>A51*1!$H$3</f>
        <v>3753.0000000000005</v>
      </c>
      <c r="D51" s="70">
        <f>A51*1!$J$3</f>
        <v>2160</v>
      </c>
      <c r="E51" s="71">
        <f t="shared" si="1"/>
        <v>16713</v>
      </c>
      <c r="F51" s="71">
        <f>E51*9/100</f>
        <v>1504.17</v>
      </c>
      <c r="G51" s="71">
        <f t="shared" si="8"/>
        <v>15208.83</v>
      </c>
      <c r="H51" s="72">
        <f t="shared" si="3"/>
        <v>38791.17</v>
      </c>
      <c r="I51" s="76">
        <f>1!$E$7+(H51-30000)*1!$B$8</f>
        <v>10552.732899999999</v>
      </c>
      <c r="J51" s="76">
        <f t="shared" si="4"/>
        <v>10552.732899999999</v>
      </c>
      <c r="K51" s="76">
        <f>1!$K$11+(H51-12000-8000-10000)*6.5/100</f>
        <v>1247.42605</v>
      </c>
      <c r="L51" s="70">
        <v>650</v>
      </c>
      <c r="M51" s="73">
        <f t="shared" si="5"/>
        <v>12450.15895</v>
      </c>
      <c r="N51" s="74">
        <f t="shared" si="6"/>
        <v>26341.01105</v>
      </c>
      <c r="O51" s="75">
        <f t="shared" si="7"/>
        <v>-0.512203499074074</v>
      </c>
    </row>
    <row r="52" spans="1:15" ht="18">
      <c r="A52" s="69">
        <v>55000</v>
      </c>
      <c r="B52" s="70">
        <f>A52*1!$G$3</f>
        <v>11000</v>
      </c>
      <c r="C52" s="70">
        <f>A52*1!$H$3</f>
        <v>3822.5000000000005</v>
      </c>
      <c r="D52" s="70">
        <f>A52*1!$J$3</f>
        <v>2200</v>
      </c>
      <c r="E52" s="71">
        <f t="shared" si="1"/>
        <v>17022.5</v>
      </c>
      <c r="F52" s="71">
        <f>E52*8/100</f>
        <v>1361.8</v>
      </c>
      <c r="G52" s="71">
        <f t="shared" si="8"/>
        <v>15660.7</v>
      </c>
      <c r="H52" s="72">
        <f t="shared" si="3"/>
        <v>39339.3</v>
      </c>
      <c r="I52" s="76">
        <f>1!$E$7+(H52-30000)*1!$B$8</f>
        <v>10755.541000000001</v>
      </c>
      <c r="J52" s="76">
        <f t="shared" si="4"/>
        <v>10755.541000000001</v>
      </c>
      <c r="K52" s="76">
        <f>1!$K$11+(H52-12000-8000-10000)*6.5/100</f>
        <v>1283.0545000000002</v>
      </c>
      <c r="L52" s="70">
        <v>650</v>
      </c>
      <c r="M52" s="73">
        <f t="shared" si="5"/>
        <v>12688.595500000001</v>
      </c>
      <c r="N52" s="74">
        <f t="shared" si="6"/>
        <v>26650.7045</v>
      </c>
      <c r="O52" s="75">
        <f t="shared" si="7"/>
        <v>-0.5154417363636363</v>
      </c>
    </row>
    <row r="53" spans="1:15" ht="18">
      <c r="A53" s="69">
        <v>56000</v>
      </c>
      <c r="B53" s="70">
        <f>A53*1!$G$3</f>
        <v>11200</v>
      </c>
      <c r="C53" s="70">
        <f>A53*1!$H$3</f>
        <v>3892.0000000000005</v>
      </c>
      <c r="D53" s="70">
        <f>A53*1!$J$3</f>
        <v>2240</v>
      </c>
      <c r="E53" s="71">
        <f t="shared" si="1"/>
        <v>17332</v>
      </c>
      <c r="F53" s="71">
        <f>E53*7/100</f>
        <v>1213.24</v>
      </c>
      <c r="G53" s="71">
        <f t="shared" si="8"/>
        <v>16118.76</v>
      </c>
      <c r="H53" s="72">
        <f t="shared" si="3"/>
        <v>39881.24</v>
      </c>
      <c r="I53" s="76">
        <f>1!$E$7+(H53-30000)*1!$B$8</f>
        <v>10956.058799999999</v>
      </c>
      <c r="J53" s="76">
        <f t="shared" si="4"/>
        <v>10956.058799999999</v>
      </c>
      <c r="K53" s="76">
        <f>1!$K$11+(H53-12000-8000-10000)*6.5/100</f>
        <v>1318.2805999999998</v>
      </c>
      <c r="L53" s="70">
        <v>650</v>
      </c>
      <c r="M53" s="73">
        <f t="shared" si="5"/>
        <v>12924.339399999999</v>
      </c>
      <c r="N53" s="74">
        <f t="shared" si="6"/>
        <v>26956.9006</v>
      </c>
      <c r="O53" s="75">
        <f t="shared" si="7"/>
        <v>-0.518626775</v>
      </c>
    </row>
    <row r="54" spans="1:15" ht="18">
      <c r="A54" s="69">
        <v>57000</v>
      </c>
      <c r="B54" s="70">
        <f>A54*1!$G$3</f>
        <v>11400</v>
      </c>
      <c r="C54" s="70">
        <f>A54*1!$H$3</f>
        <v>3961.5000000000005</v>
      </c>
      <c r="D54" s="70">
        <f>A54*1!$J$3</f>
        <v>2280</v>
      </c>
      <c r="E54" s="71">
        <f t="shared" si="1"/>
        <v>17641.5</v>
      </c>
      <c r="F54" s="71">
        <f>E54*6/100</f>
        <v>1058.49</v>
      </c>
      <c r="G54" s="71">
        <f t="shared" si="8"/>
        <v>16583.01</v>
      </c>
      <c r="H54" s="72">
        <f t="shared" si="3"/>
        <v>40416.990000000005</v>
      </c>
      <c r="I54" s="76">
        <f>1!$E$8+(H54-40000)*1!$B$9</f>
        <v>11187.645500000002</v>
      </c>
      <c r="J54" s="76">
        <f t="shared" si="4"/>
        <v>11187.645500000002</v>
      </c>
      <c r="K54" s="76">
        <f>1!$K$12+(H54-12000-8000-10000-10000)*7.5%</f>
        <v>1357.2742500000004</v>
      </c>
      <c r="L54" s="70">
        <v>650</v>
      </c>
      <c r="M54" s="73">
        <f t="shared" si="5"/>
        <v>13194.919750000003</v>
      </c>
      <c r="N54" s="74">
        <f t="shared" si="6"/>
        <v>27222.070250000004</v>
      </c>
      <c r="O54" s="75">
        <f t="shared" si="7"/>
        <v>-0.5224198201754385</v>
      </c>
    </row>
    <row r="55" spans="1:15" ht="18">
      <c r="A55" s="69">
        <v>58000</v>
      </c>
      <c r="B55" s="70">
        <f>A55*1!$G$3</f>
        <v>11600</v>
      </c>
      <c r="C55" s="70">
        <f>A55*1!$H$3</f>
        <v>4031.0000000000005</v>
      </c>
      <c r="D55" s="70">
        <f>A55*1!$J$3</f>
        <v>2320</v>
      </c>
      <c r="E55" s="71">
        <f t="shared" si="1"/>
        <v>17951</v>
      </c>
      <c r="F55" s="71">
        <f>E55*5/100</f>
        <v>897.55</v>
      </c>
      <c r="G55" s="71">
        <f t="shared" si="8"/>
        <v>17053.45</v>
      </c>
      <c r="H55" s="72">
        <f t="shared" si="3"/>
        <v>40946.55</v>
      </c>
      <c r="I55" s="76">
        <f>1!$E$8+(H55-40000)*1!$B$9</f>
        <v>11425.947500000002</v>
      </c>
      <c r="J55" s="76">
        <f t="shared" si="4"/>
        <v>11425.947500000002</v>
      </c>
      <c r="K55" s="76">
        <f>1!$K$12+(H55-12000-8000-10000-10000)*7.5%</f>
        <v>1396.9912500000003</v>
      </c>
      <c r="L55" s="70">
        <v>650</v>
      </c>
      <c r="M55" s="73">
        <f t="shared" si="5"/>
        <v>13472.938750000003</v>
      </c>
      <c r="N55" s="74">
        <f t="shared" si="6"/>
        <v>27473.61125</v>
      </c>
      <c r="O55" s="75">
        <f t="shared" si="7"/>
        <v>-0.526317047413793</v>
      </c>
    </row>
    <row r="56" spans="1:15" ht="18">
      <c r="A56" s="69">
        <v>59000</v>
      </c>
      <c r="B56" s="70">
        <f>A56*1!$G$3</f>
        <v>11800</v>
      </c>
      <c r="C56" s="70">
        <f>A56*1!$H$3</f>
        <v>4100.5</v>
      </c>
      <c r="D56" s="70">
        <f>A56*1!$J$3</f>
        <v>2360</v>
      </c>
      <c r="E56" s="71">
        <f>SUM(B56:D56)</f>
        <v>18260.5</v>
      </c>
      <c r="F56" s="71">
        <v>0</v>
      </c>
      <c r="G56" s="71">
        <f t="shared" si="8"/>
        <v>18260.5</v>
      </c>
      <c r="H56" s="72">
        <f t="shared" si="3"/>
        <v>40739.5</v>
      </c>
      <c r="I56" s="76">
        <f>1!$E$8+(H56-40000)*1!$B$9</f>
        <v>11332.775</v>
      </c>
      <c r="J56" s="76">
        <f t="shared" si="4"/>
        <v>11332.775</v>
      </c>
      <c r="K56" s="76">
        <f>1!$K$12+(H56-12000-8000-10000-10000)*7.5%</f>
        <v>1381.4625</v>
      </c>
      <c r="L56" s="70">
        <v>650</v>
      </c>
      <c r="M56" s="73">
        <f t="shared" si="5"/>
        <v>13364.2375</v>
      </c>
      <c r="N56" s="74">
        <f t="shared" si="6"/>
        <v>27375.2625</v>
      </c>
      <c r="O56" s="75">
        <f t="shared" si="7"/>
        <v>-0.5360125</v>
      </c>
    </row>
    <row r="57" spans="1:15" ht="18">
      <c r="A57" s="69">
        <v>60000</v>
      </c>
      <c r="B57" s="70">
        <f>A57*1!$G$3</f>
        <v>12000</v>
      </c>
      <c r="C57" s="70">
        <f>A57*1!$H$3</f>
        <v>4170</v>
      </c>
      <c r="D57" s="70">
        <f>A57*1!$J$3</f>
        <v>2400</v>
      </c>
      <c r="E57" s="71">
        <f t="shared" si="1"/>
        <v>18570</v>
      </c>
      <c r="F57" s="71">
        <v>0</v>
      </c>
      <c r="G57" s="71">
        <f t="shared" si="8"/>
        <v>18570</v>
      </c>
      <c r="H57" s="72">
        <f t="shared" si="3"/>
        <v>41430</v>
      </c>
      <c r="I57" s="76">
        <f>1!$E$8+(H57-40000)*1!$B$9</f>
        <v>11643.5</v>
      </c>
      <c r="J57" s="76">
        <f t="shared" si="4"/>
        <v>11643.5</v>
      </c>
      <c r="K57" s="76">
        <f>1!$K$12+(H57-12000-8000-10000-10000)*7.5%</f>
        <v>1433.25</v>
      </c>
      <c r="L57" s="70">
        <v>650</v>
      </c>
      <c r="M57" s="73">
        <f t="shared" si="5"/>
        <v>13726.75</v>
      </c>
      <c r="N57" s="74">
        <f t="shared" si="6"/>
        <v>27703.25</v>
      </c>
      <c r="O57" s="75">
        <f t="shared" si="7"/>
        <v>-0.5382791666666666</v>
      </c>
    </row>
    <row r="58" spans="1:15" ht="18">
      <c r="A58" s="69">
        <v>61000</v>
      </c>
      <c r="B58" s="70">
        <f>A58*1!$G$3</f>
        <v>12200</v>
      </c>
      <c r="C58" s="70">
        <f>A58*1!$H$3</f>
        <v>4239.5</v>
      </c>
      <c r="D58" s="70">
        <f>A58*1!$J$3</f>
        <v>2440</v>
      </c>
      <c r="E58" s="71">
        <f t="shared" si="1"/>
        <v>18879.5</v>
      </c>
      <c r="F58" s="71">
        <v>0</v>
      </c>
      <c r="G58" s="71">
        <f t="shared" si="8"/>
        <v>18879.5</v>
      </c>
      <c r="H58" s="72">
        <f t="shared" si="3"/>
        <v>42120.5</v>
      </c>
      <c r="I58" s="76">
        <f>1!$E$8+(H58-40000)*1!$B$9</f>
        <v>11954.225</v>
      </c>
      <c r="J58" s="76">
        <f t="shared" si="4"/>
        <v>11954.225</v>
      </c>
      <c r="K58" s="76">
        <f>1!$K$12+(H58-12000-8000-10000-10000)*7.5%</f>
        <v>1485.0375</v>
      </c>
      <c r="L58" s="70">
        <v>650</v>
      </c>
      <c r="M58" s="73">
        <f t="shared" si="5"/>
        <v>14089.2625</v>
      </c>
      <c r="N58" s="74">
        <f t="shared" si="6"/>
        <v>28031.2375</v>
      </c>
      <c r="O58" s="75">
        <f t="shared" si="7"/>
        <v>-0.5404715163934426</v>
      </c>
    </row>
    <row r="59" spans="1:15" ht="18">
      <c r="A59" s="69">
        <v>62000</v>
      </c>
      <c r="B59" s="70">
        <f>A59*1!$G$3</f>
        <v>12400</v>
      </c>
      <c r="C59" s="70">
        <f>A59*1!$H$3</f>
        <v>4309</v>
      </c>
      <c r="D59" s="70">
        <f>A59*1!$J$3</f>
        <v>2480</v>
      </c>
      <c r="E59" s="71">
        <f t="shared" si="1"/>
        <v>19189</v>
      </c>
      <c r="F59" s="71">
        <v>0</v>
      </c>
      <c r="G59" s="71">
        <f t="shared" si="8"/>
        <v>19189</v>
      </c>
      <c r="H59" s="72">
        <f t="shared" si="3"/>
        <v>42811</v>
      </c>
      <c r="I59" s="76">
        <f>1!$E$8+(H59-40000)*1!$B$9</f>
        <v>12264.95</v>
      </c>
      <c r="J59" s="76">
        <f t="shared" si="4"/>
        <v>12264.95</v>
      </c>
      <c r="K59" s="76">
        <f>1!$K$12+(H59-12000-8000-10000-10000)*7.5%</f>
        <v>1536.825</v>
      </c>
      <c r="L59" s="70">
        <v>650</v>
      </c>
      <c r="M59" s="73">
        <f t="shared" si="5"/>
        <v>14451.775000000001</v>
      </c>
      <c r="N59" s="74">
        <f t="shared" si="6"/>
        <v>28359.225</v>
      </c>
      <c r="O59" s="75">
        <f t="shared" si="7"/>
        <v>-0.5425931451612904</v>
      </c>
    </row>
    <row r="60" spans="1:15" ht="18">
      <c r="A60" s="69">
        <v>63000</v>
      </c>
      <c r="B60" s="70">
        <f>A60*1!$G$3</f>
        <v>12600</v>
      </c>
      <c r="C60" s="70">
        <f>A60*1!$H$3</f>
        <v>4378.5</v>
      </c>
      <c r="D60" s="70">
        <f>A60*1!$J$3</f>
        <v>2520</v>
      </c>
      <c r="E60" s="71">
        <f t="shared" si="1"/>
        <v>19498.5</v>
      </c>
      <c r="F60" s="71">
        <v>0</v>
      </c>
      <c r="G60" s="71">
        <f t="shared" si="8"/>
        <v>19498.5</v>
      </c>
      <c r="H60" s="72">
        <f t="shared" si="3"/>
        <v>43501.5</v>
      </c>
      <c r="I60" s="76">
        <f>1!$E$8+(H60-40000)*1!$B$9</f>
        <v>12575.675</v>
      </c>
      <c r="J60" s="76">
        <f t="shared" si="4"/>
        <v>12575.675</v>
      </c>
      <c r="K60" s="76">
        <f>1!$K$12+(H60-12000-8000-10000-10000)*7.5%</f>
        <v>1588.6125</v>
      </c>
      <c r="L60" s="70">
        <v>650</v>
      </c>
      <c r="M60" s="73">
        <f t="shared" si="5"/>
        <v>14814.287499999999</v>
      </c>
      <c r="N60" s="74">
        <f t="shared" si="6"/>
        <v>28687.2125</v>
      </c>
      <c r="O60" s="75">
        <f t="shared" si="7"/>
        <v>-0.5446474206349206</v>
      </c>
    </row>
    <row r="61" spans="1:15" ht="18">
      <c r="A61" s="69">
        <v>64000</v>
      </c>
      <c r="B61" s="70">
        <f>A61*1!$G$3</f>
        <v>12800</v>
      </c>
      <c r="C61" s="70">
        <f>A61*1!$H$3</f>
        <v>4448</v>
      </c>
      <c r="D61" s="70">
        <f>A61*1!$J$3</f>
        <v>2560</v>
      </c>
      <c r="E61" s="71">
        <f t="shared" si="1"/>
        <v>19808</v>
      </c>
      <c r="F61" s="71">
        <v>0</v>
      </c>
      <c r="G61" s="71">
        <f t="shared" si="8"/>
        <v>19808</v>
      </c>
      <c r="H61" s="72">
        <f t="shared" si="3"/>
        <v>44192</v>
      </c>
      <c r="I61" s="76">
        <f>1!$E$8+(H61-40000)*1!$B$9</f>
        <v>12886.4</v>
      </c>
      <c r="J61" s="76">
        <f t="shared" si="4"/>
        <v>12886.4</v>
      </c>
      <c r="K61" s="76">
        <f>1!$K$12+(H61-12000-8000-10000-10000)*7.5%</f>
        <v>1640.4</v>
      </c>
      <c r="L61" s="70">
        <v>650</v>
      </c>
      <c r="M61" s="73">
        <f t="shared" si="5"/>
        <v>15176.8</v>
      </c>
      <c r="N61" s="74">
        <f t="shared" si="6"/>
        <v>29015.2</v>
      </c>
      <c r="O61" s="75">
        <f t="shared" si="7"/>
        <v>-0.5466375</v>
      </c>
    </row>
    <row r="62" spans="1:15" ht="18">
      <c r="A62" s="69">
        <v>65000</v>
      </c>
      <c r="B62" s="70">
        <f>A62*1!$G$3</f>
        <v>13000</v>
      </c>
      <c r="C62" s="70">
        <f>A62*1!$H$3</f>
        <v>4517.5</v>
      </c>
      <c r="D62" s="70">
        <f>A62*1!$J$3</f>
        <v>2600</v>
      </c>
      <c r="E62" s="71">
        <f t="shared" si="1"/>
        <v>20117.5</v>
      </c>
      <c r="F62" s="71">
        <v>0</v>
      </c>
      <c r="G62" s="71">
        <f t="shared" si="8"/>
        <v>20117.5</v>
      </c>
      <c r="H62" s="72">
        <f t="shared" si="3"/>
        <v>44882.5</v>
      </c>
      <c r="I62" s="76">
        <f>1!$E$8+(H62-40000)*1!$B$9</f>
        <v>13197.125</v>
      </c>
      <c r="J62" s="76">
        <f t="shared" si="4"/>
        <v>13197.125</v>
      </c>
      <c r="K62" s="76">
        <f>1!$K$12+(H62-12000-8000-10000-10000)*7.5%</f>
        <v>1692.1875</v>
      </c>
      <c r="L62" s="70">
        <v>650</v>
      </c>
      <c r="M62" s="73">
        <f t="shared" si="5"/>
        <v>15539.3125</v>
      </c>
      <c r="N62" s="74">
        <f t="shared" si="6"/>
        <v>29343.1875</v>
      </c>
      <c r="O62" s="75">
        <f t="shared" si="7"/>
        <v>-0.5485663461538461</v>
      </c>
    </row>
    <row r="63" spans="1:15" ht="18">
      <c r="A63" s="69">
        <v>66000</v>
      </c>
      <c r="B63" s="70">
        <f>A63*1!$G$3</f>
        <v>13200</v>
      </c>
      <c r="C63" s="70">
        <f>A63*1!$H$3</f>
        <v>4587</v>
      </c>
      <c r="D63" s="70">
        <f>A63*1!$J$3</f>
        <v>2640</v>
      </c>
      <c r="E63" s="71">
        <f t="shared" si="1"/>
        <v>20427</v>
      </c>
      <c r="F63" s="71">
        <v>0</v>
      </c>
      <c r="G63" s="71">
        <f t="shared" si="8"/>
        <v>20427</v>
      </c>
      <c r="H63" s="72">
        <f t="shared" si="3"/>
        <v>45573</v>
      </c>
      <c r="I63" s="76">
        <f>1!$E$8+(H63-40000)*1!$B$9</f>
        <v>13507.85</v>
      </c>
      <c r="J63" s="76">
        <f t="shared" si="4"/>
        <v>13507.85</v>
      </c>
      <c r="K63" s="76">
        <f>1!$K$12+(H63-12000-8000-10000-10000)*7.5%</f>
        <v>1743.975</v>
      </c>
      <c r="L63" s="70">
        <v>650</v>
      </c>
      <c r="M63" s="73">
        <f t="shared" si="5"/>
        <v>15901.825</v>
      </c>
      <c r="N63" s="74">
        <f t="shared" si="6"/>
        <v>29671.175</v>
      </c>
      <c r="O63" s="75">
        <f t="shared" si="7"/>
        <v>-0.5504367424242425</v>
      </c>
    </row>
    <row r="64" spans="1:15" ht="18">
      <c r="A64" s="69">
        <v>67000</v>
      </c>
      <c r="B64" s="70">
        <f>A64*1!$G$3</f>
        <v>13400</v>
      </c>
      <c r="C64" s="76">
        <f>A64*1!$H$3</f>
        <v>4656.5</v>
      </c>
      <c r="D64" s="76">
        <f>A64*1!$J$3</f>
        <v>2680</v>
      </c>
      <c r="E64" s="71">
        <f t="shared" si="1"/>
        <v>20736.5</v>
      </c>
      <c r="F64" s="71">
        <v>0</v>
      </c>
      <c r="G64" s="71">
        <f t="shared" si="8"/>
        <v>20736.5</v>
      </c>
      <c r="H64" s="72">
        <f t="shared" si="3"/>
        <v>46263.5</v>
      </c>
      <c r="I64" s="76">
        <f>1!$E$8+(H64-40000)*1!$B$9</f>
        <v>13818.575</v>
      </c>
      <c r="J64" s="76">
        <f t="shared" si="4"/>
        <v>13818.575</v>
      </c>
      <c r="K64" s="76">
        <f>1!$K$12+(H64-12000-8000-10000-10000)*7.5%</f>
        <v>1795.7625</v>
      </c>
      <c r="L64" s="76">
        <v>650</v>
      </c>
      <c r="M64" s="73">
        <f t="shared" si="5"/>
        <v>16264.337500000001</v>
      </c>
      <c r="N64" s="74">
        <f t="shared" si="6"/>
        <v>29999.1625</v>
      </c>
      <c r="O64" s="75">
        <f t="shared" si="7"/>
        <v>-0.5522513059701493</v>
      </c>
    </row>
    <row r="65" spans="1:15" ht="18">
      <c r="A65" s="69">
        <v>68000</v>
      </c>
      <c r="B65" s="70">
        <f>A65*1!$G$3</f>
        <v>13600</v>
      </c>
      <c r="C65" s="70">
        <f>A65*1!$H$3</f>
        <v>4726</v>
      </c>
      <c r="D65" s="70">
        <f>A65*1!$J$3</f>
        <v>2720</v>
      </c>
      <c r="E65" s="71">
        <f t="shared" si="1"/>
        <v>21046</v>
      </c>
      <c r="F65" s="71">
        <v>0</v>
      </c>
      <c r="G65" s="71">
        <f t="shared" si="8"/>
        <v>21046</v>
      </c>
      <c r="H65" s="72">
        <f t="shared" si="3"/>
        <v>46954</v>
      </c>
      <c r="I65" s="76">
        <f>1!$E$8+(H65-40000)*1!$B$9</f>
        <v>14129.3</v>
      </c>
      <c r="J65" s="76">
        <f t="shared" si="4"/>
        <v>14129.3</v>
      </c>
      <c r="K65" s="76">
        <f>1!$K$12+(H65-12000-8000-10000-10000)*7.5%</f>
        <v>1847.55</v>
      </c>
      <c r="L65" s="70">
        <v>650</v>
      </c>
      <c r="M65" s="73">
        <f t="shared" si="5"/>
        <v>16626.85</v>
      </c>
      <c r="N65" s="74">
        <f t="shared" si="6"/>
        <v>30327.15</v>
      </c>
      <c r="O65" s="75">
        <f t="shared" si="7"/>
        <v>-0.5540125</v>
      </c>
    </row>
    <row r="66" spans="1:15" ht="18">
      <c r="A66" s="69">
        <v>69000</v>
      </c>
      <c r="B66" s="70">
        <f>A66*1!$G$3</f>
        <v>13800</v>
      </c>
      <c r="C66" s="70">
        <f>A66*1!$H$3</f>
        <v>4795.5</v>
      </c>
      <c r="D66" s="70">
        <f>A66*1!$J$3</f>
        <v>2760</v>
      </c>
      <c r="E66" s="71">
        <f t="shared" si="1"/>
        <v>21355.5</v>
      </c>
      <c r="F66" s="71">
        <v>0</v>
      </c>
      <c r="G66" s="71">
        <f t="shared" si="8"/>
        <v>21355.5</v>
      </c>
      <c r="H66" s="72">
        <f>A66-G66</f>
        <v>47644.5</v>
      </c>
      <c r="I66" s="76">
        <f>1!$E$8+(H66-40000)*1!$B$9</f>
        <v>14440.025</v>
      </c>
      <c r="J66" s="76">
        <f t="shared" si="4"/>
        <v>14440.025</v>
      </c>
      <c r="K66" s="76">
        <f>1!$K$12+(H66-12000-8000-10000-10000)*7.5%</f>
        <v>1899.3375</v>
      </c>
      <c r="L66" s="70">
        <v>650</v>
      </c>
      <c r="M66" s="73">
        <f t="shared" si="5"/>
        <v>16989.3625</v>
      </c>
      <c r="N66" s="74">
        <f t="shared" si="6"/>
        <v>30655.1375</v>
      </c>
      <c r="O66" s="75">
        <f t="shared" si="7"/>
        <v>-0.5557226449275362</v>
      </c>
    </row>
    <row r="67" spans="1:15" ht="18">
      <c r="A67" s="69">
        <v>70329.6</v>
      </c>
      <c r="B67" s="70">
        <f>A67*1!$G$3</f>
        <v>14065.920000000002</v>
      </c>
      <c r="C67" s="70">
        <f>A67*1!$H$3</f>
        <v>4887.907200000001</v>
      </c>
      <c r="D67" s="70">
        <f>A67*1!$J$3</f>
        <v>2813.184</v>
      </c>
      <c r="E67" s="71">
        <f t="shared" si="1"/>
        <v>21767.011200000004</v>
      </c>
      <c r="F67" s="71">
        <v>0</v>
      </c>
      <c r="G67" s="71">
        <f t="shared" si="8"/>
        <v>21767.011200000004</v>
      </c>
      <c r="H67" s="72">
        <f>A67-G67</f>
        <v>48562.5888</v>
      </c>
      <c r="I67" s="76">
        <f>1!$E$8+(H67-40000)*1!$B$9</f>
        <v>14853.164959999998</v>
      </c>
      <c r="J67" s="76">
        <f t="shared" si="4"/>
        <v>14853.164959999998</v>
      </c>
      <c r="K67" s="76">
        <f>1!$K$12+(H67-12000-8000-10000-10000)*7.5%</f>
        <v>1968.1941599999998</v>
      </c>
      <c r="L67" s="70">
        <v>650</v>
      </c>
      <c r="M67" s="73">
        <f t="shared" si="5"/>
        <v>17471.359119999997</v>
      </c>
      <c r="N67" s="74">
        <f t="shared" si="6"/>
        <v>31091.22968</v>
      </c>
      <c r="O67" s="75">
        <f t="shared" si="7"/>
        <v>-0.557921135908636</v>
      </c>
    </row>
    <row r="68" s="38" customFormat="1" ht="18.75">
      <c r="A68" s="139" t="s">
        <v>251</v>
      </c>
    </row>
  </sheetData>
  <sheetProtection/>
  <mergeCells count="1">
    <mergeCell ref="A1:N1"/>
  </mergeCells>
  <hyperlinks>
    <hyperlink ref="O1" location="'1'!A1" display="'1'!A1"/>
  </hyperlinks>
  <printOptions horizontalCentered="1"/>
  <pageMargins left="0.11811023622047245" right="0.11811023622047245" top="0.35433070866141736" bottom="0.1968503937007874" header="0.31496062992125984" footer="0.31496062992125984"/>
  <pageSetup horizontalDpi="600" verticalDpi="600" orientation="landscape" paperSize="9" scale="78" r:id="rId3"/>
  <legacyDrawing r:id="rId2"/>
</worksheet>
</file>

<file path=xl/worksheets/sheet4.xml><?xml version="1.0" encoding="utf-8"?>
<worksheet xmlns="http://schemas.openxmlformats.org/spreadsheetml/2006/main" xmlns:r="http://schemas.openxmlformats.org/officeDocument/2006/relationships">
  <dimension ref="A1:O68"/>
  <sheetViews>
    <sheetView zoomScalePageLayoutView="0" workbookViewId="0" topLeftCell="A1">
      <selection activeCell="A1" sqref="A1:N1"/>
    </sheetView>
  </sheetViews>
  <sheetFormatPr defaultColWidth="9.140625" defaultRowHeight="15"/>
  <cols>
    <col min="1" max="1" width="15.8515625" style="0" bestFit="1" customWidth="1"/>
    <col min="2" max="2" width="9.140625" style="0" bestFit="1" customWidth="1"/>
    <col min="3" max="4" width="8.7109375" style="0" bestFit="1" customWidth="1"/>
    <col min="5" max="5" width="11.57421875" style="0" bestFit="1" customWidth="1"/>
    <col min="6" max="6" width="10.140625" style="0" bestFit="1" customWidth="1"/>
    <col min="7" max="7" width="11.57421875" style="0" bestFit="1" customWidth="1"/>
    <col min="8" max="8" width="11.57421875" style="0" customWidth="1"/>
    <col min="9" max="9" width="11.28125" style="0" customWidth="1"/>
    <col min="10" max="10" width="14.28125" style="0" customWidth="1"/>
    <col min="11" max="11" width="11.8515625" style="0" customWidth="1"/>
    <col min="12" max="12" width="10.57421875" style="0" customWidth="1"/>
    <col min="13" max="14" width="11.421875" style="0" bestFit="1" customWidth="1"/>
    <col min="15" max="15" width="9.57421875" style="0" customWidth="1"/>
  </cols>
  <sheetData>
    <row r="1" spans="1:15" ht="65.25" customHeight="1">
      <c r="A1" s="177" t="s">
        <v>226</v>
      </c>
      <c r="B1" s="177"/>
      <c r="C1" s="177"/>
      <c r="D1" s="177"/>
      <c r="E1" s="177"/>
      <c r="F1" s="177"/>
      <c r="G1" s="177"/>
      <c r="H1" s="177"/>
      <c r="I1" s="177"/>
      <c r="J1" s="177"/>
      <c r="K1" s="177"/>
      <c r="L1" s="177"/>
      <c r="M1" s="177"/>
      <c r="N1" s="177"/>
      <c r="O1" s="60"/>
    </row>
    <row r="2" spans="1:15" ht="115.5">
      <c r="A2" s="97" t="s">
        <v>225</v>
      </c>
      <c r="B2" s="85" t="s">
        <v>219</v>
      </c>
      <c r="C2" s="85" t="s">
        <v>206</v>
      </c>
      <c r="D2" s="85" t="s">
        <v>207</v>
      </c>
      <c r="E2" s="86" t="s">
        <v>198</v>
      </c>
      <c r="F2" s="64" t="s">
        <v>223</v>
      </c>
      <c r="G2" s="64" t="s">
        <v>224</v>
      </c>
      <c r="H2" s="87" t="s">
        <v>185</v>
      </c>
      <c r="I2" s="88" t="s">
        <v>201</v>
      </c>
      <c r="J2" s="85" t="s">
        <v>202</v>
      </c>
      <c r="K2" s="88" t="s">
        <v>203</v>
      </c>
      <c r="L2" s="85" t="s">
        <v>204</v>
      </c>
      <c r="M2" s="81" t="s">
        <v>216</v>
      </c>
      <c r="N2" s="42" t="s">
        <v>208</v>
      </c>
      <c r="O2" s="66" t="s">
        <v>200</v>
      </c>
    </row>
    <row r="3" spans="1:15" ht="33.75">
      <c r="A3" s="93" t="s">
        <v>186</v>
      </c>
      <c r="B3" s="93" t="s">
        <v>187</v>
      </c>
      <c r="C3" s="94" t="s">
        <v>188</v>
      </c>
      <c r="D3" s="94" t="s">
        <v>189</v>
      </c>
      <c r="E3" s="95" t="s">
        <v>196</v>
      </c>
      <c r="F3" s="95" t="s">
        <v>190</v>
      </c>
      <c r="G3" s="95" t="s">
        <v>211</v>
      </c>
      <c r="H3" s="95" t="s">
        <v>212</v>
      </c>
      <c r="I3" s="94" t="s">
        <v>193</v>
      </c>
      <c r="J3" s="94" t="s">
        <v>213</v>
      </c>
      <c r="K3" s="94" t="s">
        <v>214</v>
      </c>
      <c r="L3" s="94" t="s">
        <v>215</v>
      </c>
      <c r="M3" s="84" t="s">
        <v>217</v>
      </c>
      <c r="N3" s="61" t="s">
        <v>221</v>
      </c>
      <c r="O3" s="68" t="s">
        <v>222</v>
      </c>
    </row>
    <row r="4" spans="1:15" ht="18">
      <c r="A4" s="89" t="s">
        <v>218</v>
      </c>
      <c r="B4" s="90">
        <f>4922*14/100</f>
        <v>689.08</v>
      </c>
      <c r="C4" s="90">
        <f>4922*1!$H$3</f>
        <v>342.079</v>
      </c>
      <c r="D4" s="90">
        <f>4922*1!$J$3</f>
        <v>196.88</v>
      </c>
      <c r="E4" s="91">
        <f>SUM(B4:D4)</f>
        <v>1228.0390000000002</v>
      </c>
      <c r="F4" s="91">
        <v>0</v>
      </c>
      <c r="G4" s="91">
        <f>E4-F4</f>
        <v>1228.0390000000002</v>
      </c>
      <c r="H4" s="92">
        <f>4922-G4</f>
        <v>3693.961</v>
      </c>
      <c r="I4" s="96">
        <f>H4*1!$B$6</f>
        <v>812.67142</v>
      </c>
      <c r="J4" s="96">
        <f>I4*100%</f>
        <v>812.67142</v>
      </c>
      <c r="K4" s="96">
        <v>0</v>
      </c>
      <c r="L4" s="90">
        <v>650</v>
      </c>
      <c r="M4" s="73">
        <f>I4+K4+L4</f>
        <v>1462.6714200000001</v>
      </c>
      <c r="N4" s="83">
        <f>H4-M4</f>
        <v>2231.2895799999997</v>
      </c>
      <c r="O4" s="75">
        <f>N4/4922-1</f>
        <v>-0.5466701381552215</v>
      </c>
    </row>
    <row r="5" spans="1:15" ht="18">
      <c r="A5" s="69">
        <v>8000</v>
      </c>
      <c r="B5" s="70">
        <f aca="true" t="shared" si="0" ref="B5:B36">A5*14/100</f>
        <v>1120</v>
      </c>
      <c r="C5" s="70">
        <f>A5*1!$H$3</f>
        <v>556</v>
      </c>
      <c r="D5" s="70">
        <f>A5*1!$J$3</f>
        <v>320</v>
      </c>
      <c r="E5" s="91">
        <f aca="true" t="shared" si="1" ref="E5:E67">SUM(B5:D5)</f>
        <v>1996</v>
      </c>
      <c r="F5" s="71">
        <f aca="true" t="shared" si="2" ref="F5:F10">E5*50%</f>
        <v>998</v>
      </c>
      <c r="G5" s="91">
        <f aca="true" t="shared" si="3" ref="G5:G67">E5-F5</f>
        <v>998</v>
      </c>
      <c r="H5" s="72">
        <f>A5-G5</f>
        <v>7002</v>
      </c>
      <c r="I5" s="96">
        <f>H5*1!$B$6</f>
        <v>1540.44</v>
      </c>
      <c r="J5" s="76">
        <f aca="true" t="shared" si="4" ref="J5:J67">I5*100%</f>
        <v>1540.44</v>
      </c>
      <c r="K5" s="76">
        <v>0</v>
      </c>
      <c r="L5" s="70">
        <v>650</v>
      </c>
      <c r="M5" s="73">
        <f>I5+K5+L5</f>
        <v>2190.44</v>
      </c>
      <c r="N5" s="83">
        <f>H5-M5</f>
        <v>4811.5599999999995</v>
      </c>
      <c r="O5" s="75">
        <f>N5/A5-1</f>
        <v>-0.3985550000000001</v>
      </c>
    </row>
    <row r="6" spans="1:15" ht="18">
      <c r="A6" s="69">
        <v>9000</v>
      </c>
      <c r="B6" s="70">
        <f t="shared" si="0"/>
        <v>1260</v>
      </c>
      <c r="C6" s="70">
        <f>A6*1!$H$3</f>
        <v>625.5</v>
      </c>
      <c r="D6" s="70">
        <f>A6*1!$J$3</f>
        <v>360</v>
      </c>
      <c r="E6" s="91">
        <f t="shared" si="1"/>
        <v>2245.5</v>
      </c>
      <c r="F6" s="71">
        <f t="shared" si="2"/>
        <v>1122.75</v>
      </c>
      <c r="G6" s="91">
        <f t="shared" si="3"/>
        <v>1122.75</v>
      </c>
      <c r="H6" s="72">
        <f aca="true" t="shared" si="5" ref="H6:H66">A6-G6</f>
        <v>7877.25</v>
      </c>
      <c r="I6" s="96">
        <f>H6*1!$B$6</f>
        <v>1732.9950000000001</v>
      </c>
      <c r="J6" s="76">
        <f t="shared" si="4"/>
        <v>1732.9950000000001</v>
      </c>
      <c r="K6" s="76">
        <v>0</v>
      </c>
      <c r="L6" s="70">
        <v>650</v>
      </c>
      <c r="M6" s="73">
        <f aca="true" t="shared" si="6" ref="M6:M67">I6+K6+L6</f>
        <v>2382.995</v>
      </c>
      <c r="N6" s="83">
        <f aca="true" t="shared" si="7" ref="N6:N67">H6-M6</f>
        <v>5494.255</v>
      </c>
      <c r="O6" s="75">
        <f aca="true" t="shared" si="8" ref="O6:O67">N6/A6-1</f>
        <v>-0.38952722222222225</v>
      </c>
    </row>
    <row r="7" spans="1:15" ht="18">
      <c r="A7" s="69">
        <v>10000</v>
      </c>
      <c r="B7" s="70">
        <f t="shared" si="0"/>
        <v>1400</v>
      </c>
      <c r="C7" s="70">
        <f>A7*1!$H$3</f>
        <v>695.0000000000001</v>
      </c>
      <c r="D7" s="70">
        <f>A7*1!$J$3</f>
        <v>400</v>
      </c>
      <c r="E7" s="91">
        <f t="shared" si="1"/>
        <v>2495</v>
      </c>
      <c r="F7" s="71">
        <f t="shared" si="2"/>
        <v>1247.5</v>
      </c>
      <c r="G7" s="91">
        <f t="shared" si="3"/>
        <v>1247.5</v>
      </c>
      <c r="H7" s="72">
        <f t="shared" si="5"/>
        <v>8752.5</v>
      </c>
      <c r="I7" s="96">
        <f>H7*1!$B$6</f>
        <v>1925.55</v>
      </c>
      <c r="J7" s="76">
        <f t="shared" si="4"/>
        <v>1925.55</v>
      </c>
      <c r="K7" s="76">
        <v>0</v>
      </c>
      <c r="L7" s="70">
        <v>650</v>
      </c>
      <c r="M7" s="73">
        <f t="shared" si="6"/>
        <v>2575.55</v>
      </c>
      <c r="N7" s="83">
        <f t="shared" si="7"/>
        <v>6176.95</v>
      </c>
      <c r="O7" s="75">
        <f t="shared" si="8"/>
        <v>-0.382305</v>
      </c>
    </row>
    <row r="8" spans="1:15" ht="18">
      <c r="A8" s="69">
        <v>11000</v>
      </c>
      <c r="B8" s="70">
        <f t="shared" si="0"/>
        <v>1540</v>
      </c>
      <c r="C8" s="70">
        <f>A8*1!$H$3</f>
        <v>764.5000000000001</v>
      </c>
      <c r="D8" s="70">
        <f>A8*1!$J$3</f>
        <v>440</v>
      </c>
      <c r="E8" s="91">
        <f t="shared" si="1"/>
        <v>2744.5</v>
      </c>
      <c r="F8" s="71">
        <f t="shared" si="2"/>
        <v>1372.25</v>
      </c>
      <c r="G8" s="91">
        <f t="shared" si="3"/>
        <v>1372.25</v>
      </c>
      <c r="H8" s="72">
        <f t="shared" si="5"/>
        <v>9627.75</v>
      </c>
      <c r="I8" s="96">
        <f>H8*1!$B$6</f>
        <v>2118.105</v>
      </c>
      <c r="J8" s="76">
        <f t="shared" si="4"/>
        <v>2118.105</v>
      </c>
      <c r="K8" s="76">
        <v>0</v>
      </c>
      <c r="L8" s="70">
        <v>650</v>
      </c>
      <c r="M8" s="73">
        <f t="shared" si="6"/>
        <v>2768.105</v>
      </c>
      <c r="N8" s="83">
        <f t="shared" si="7"/>
        <v>6859.645</v>
      </c>
      <c r="O8" s="75">
        <f t="shared" si="8"/>
        <v>-0.37639590909090903</v>
      </c>
    </row>
    <row r="9" spans="1:15" ht="18">
      <c r="A9" s="69">
        <v>12000</v>
      </c>
      <c r="B9" s="70">
        <f t="shared" si="0"/>
        <v>1680</v>
      </c>
      <c r="C9" s="70">
        <f>A9*1!$H$3</f>
        <v>834.0000000000001</v>
      </c>
      <c r="D9" s="70">
        <f>A9*1!$J$3</f>
        <v>480</v>
      </c>
      <c r="E9" s="91">
        <f t="shared" si="1"/>
        <v>2994</v>
      </c>
      <c r="F9" s="71">
        <f t="shared" si="2"/>
        <v>1497</v>
      </c>
      <c r="G9" s="91">
        <f t="shared" si="3"/>
        <v>1497</v>
      </c>
      <c r="H9" s="72">
        <f t="shared" si="5"/>
        <v>10503</v>
      </c>
      <c r="I9" s="96">
        <f>H9*1!$B$6</f>
        <v>2310.66</v>
      </c>
      <c r="J9" s="76">
        <f t="shared" si="4"/>
        <v>2310.66</v>
      </c>
      <c r="K9" s="76">
        <v>0</v>
      </c>
      <c r="L9" s="70">
        <v>650</v>
      </c>
      <c r="M9" s="73">
        <f t="shared" si="6"/>
        <v>2960.66</v>
      </c>
      <c r="N9" s="83">
        <f t="shared" si="7"/>
        <v>7542.34</v>
      </c>
      <c r="O9" s="75">
        <f t="shared" si="8"/>
        <v>-0.37147166666666664</v>
      </c>
    </row>
    <row r="10" spans="1:15" ht="18">
      <c r="A10" s="80">
        <v>13000</v>
      </c>
      <c r="B10" s="70">
        <f t="shared" si="0"/>
        <v>1820</v>
      </c>
      <c r="C10" s="70">
        <f>A10*1!$H$3</f>
        <v>903.5000000000001</v>
      </c>
      <c r="D10" s="70">
        <f>A10*1!$J$3</f>
        <v>520</v>
      </c>
      <c r="E10" s="91">
        <f t="shared" si="1"/>
        <v>3243.5</v>
      </c>
      <c r="F10" s="71">
        <f t="shared" si="2"/>
        <v>1621.75</v>
      </c>
      <c r="G10" s="91">
        <f t="shared" si="3"/>
        <v>1621.75</v>
      </c>
      <c r="H10" s="72">
        <f t="shared" si="5"/>
        <v>11378.25</v>
      </c>
      <c r="I10" s="96">
        <f>H10*1!$B$6</f>
        <v>2503.215</v>
      </c>
      <c r="J10" s="76">
        <f t="shared" si="4"/>
        <v>2503.215</v>
      </c>
      <c r="K10" s="76">
        <v>0</v>
      </c>
      <c r="L10" s="70">
        <v>650</v>
      </c>
      <c r="M10" s="73">
        <f t="shared" si="6"/>
        <v>3153.215</v>
      </c>
      <c r="N10" s="83">
        <f t="shared" si="7"/>
        <v>8225.035</v>
      </c>
      <c r="O10" s="75">
        <f t="shared" si="8"/>
        <v>-0.367305</v>
      </c>
    </row>
    <row r="11" spans="1:15" ht="18">
      <c r="A11" s="69">
        <v>14000</v>
      </c>
      <c r="B11" s="70">
        <f t="shared" si="0"/>
        <v>1960</v>
      </c>
      <c r="C11" s="70">
        <f>A11*1!$H$3</f>
        <v>973.0000000000001</v>
      </c>
      <c r="D11" s="70">
        <f>A11*1!$J$3</f>
        <v>560</v>
      </c>
      <c r="E11" s="91">
        <f t="shared" si="1"/>
        <v>3493</v>
      </c>
      <c r="F11" s="71">
        <f>E11*49%</f>
        <v>1711.57</v>
      </c>
      <c r="G11" s="91">
        <f t="shared" si="3"/>
        <v>1781.43</v>
      </c>
      <c r="H11" s="72">
        <f t="shared" si="5"/>
        <v>12218.57</v>
      </c>
      <c r="I11" s="96">
        <f>H11*1!$B$6</f>
        <v>2688.0854</v>
      </c>
      <c r="J11" s="76">
        <f t="shared" si="4"/>
        <v>2688.0854</v>
      </c>
      <c r="K11" s="76">
        <f>(H11-12000)*2.2/100</f>
        <v>4.8085399999999945</v>
      </c>
      <c r="L11" s="70">
        <v>650</v>
      </c>
      <c r="M11" s="73">
        <f t="shared" si="6"/>
        <v>3342.89394</v>
      </c>
      <c r="N11" s="83">
        <f t="shared" si="7"/>
        <v>8875.67606</v>
      </c>
      <c r="O11" s="75">
        <f t="shared" si="8"/>
        <v>-0.36602313857142854</v>
      </c>
    </row>
    <row r="12" spans="1:15" ht="18">
      <c r="A12" s="69">
        <v>15000</v>
      </c>
      <c r="B12" s="70">
        <f t="shared" si="0"/>
        <v>2100</v>
      </c>
      <c r="C12" s="70">
        <f>A12*1!$H$3</f>
        <v>1042.5</v>
      </c>
      <c r="D12" s="70">
        <f>A12*1!$J$3</f>
        <v>600</v>
      </c>
      <c r="E12" s="91">
        <f t="shared" si="1"/>
        <v>3742.5</v>
      </c>
      <c r="F12" s="71">
        <f>E12*48%</f>
        <v>1796.3999999999999</v>
      </c>
      <c r="G12" s="91">
        <f t="shared" si="3"/>
        <v>1946.1000000000001</v>
      </c>
      <c r="H12" s="72">
        <f t="shared" si="5"/>
        <v>13053.9</v>
      </c>
      <c r="I12" s="96">
        <f>H12*1!$B$6</f>
        <v>2871.8579999999997</v>
      </c>
      <c r="J12" s="76">
        <f t="shared" si="4"/>
        <v>2871.8579999999997</v>
      </c>
      <c r="K12" s="76">
        <f>(H12-12000)*2.2/100</f>
        <v>23.185799999999993</v>
      </c>
      <c r="L12" s="70">
        <v>650</v>
      </c>
      <c r="M12" s="73">
        <f t="shared" si="6"/>
        <v>3545.0438</v>
      </c>
      <c r="N12" s="83">
        <f t="shared" si="7"/>
        <v>9508.8562</v>
      </c>
      <c r="O12" s="75">
        <f t="shared" si="8"/>
        <v>-0.36607625333333327</v>
      </c>
    </row>
    <row r="13" spans="1:15" ht="18">
      <c r="A13" s="69">
        <v>16000</v>
      </c>
      <c r="B13" s="70">
        <f t="shared" si="0"/>
        <v>2240</v>
      </c>
      <c r="C13" s="70">
        <f>A13*1!$H$3</f>
        <v>1112</v>
      </c>
      <c r="D13" s="70">
        <f>A13*1!$J$3</f>
        <v>640</v>
      </c>
      <c r="E13" s="91">
        <f t="shared" si="1"/>
        <v>3992</v>
      </c>
      <c r="F13" s="71">
        <f>E13*47/100</f>
        <v>1876.24</v>
      </c>
      <c r="G13" s="91">
        <f t="shared" si="3"/>
        <v>2115.76</v>
      </c>
      <c r="H13" s="72">
        <f t="shared" si="5"/>
        <v>13884.24</v>
      </c>
      <c r="I13" s="96">
        <f>H13*1!$B$6</f>
        <v>3054.5328</v>
      </c>
      <c r="J13" s="76">
        <f t="shared" si="4"/>
        <v>3054.5328</v>
      </c>
      <c r="K13" s="76">
        <f aca="true" t="shared" si="9" ref="K13:K19">(H13-12000)*2.2/100</f>
        <v>41.45327999999999</v>
      </c>
      <c r="L13" s="70">
        <v>650</v>
      </c>
      <c r="M13" s="73">
        <f t="shared" si="6"/>
        <v>3745.98608</v>
      </c>
      <c r="N13" s="83">
        <f t="shared" si="7"/>
        <v>10138.25392</v>
      </c>
      <c r="O13" s="75">
        <f t="shared" si="8"/>
        <v>-0.3663591300000001</v>
      </c>
    </row>
    <row r="14" spans="1:15" ht="18">
      <c r="A14" s="69">
        <v>17000</v>
      </c>
      <c r="B14" s="70">
        <f t="shared" si="0"/>
        <v>2380</v>
      </c>
      <c r="C14" s="70">
        <f>A14*1!$H$3</f>
        <v>1181.5</v>
      </c>
      <c r="D14" s="70">
        <f>A14*1!$J$3</f>
        <v>680</v>
      </c>
      <c r="E14" s="91">
        <f t="shared" si="1"/>
        <v>4241.5</v>
      </c>
      <c r="F14" s="71">
        <f>E14*46/100</f>
        <v>1951.09</v>
      </c>
      <c r="G14" s="91">
        <f t="shared" si="3"/>
        <v>2290.41</v>
      </c>
      <c r="H14" s="72">
        <f t="shared" si="5"/>
        <v>14709.59</v>
      </c>
      <c r="I14" s="96">
        <f>H14*1!$B$6</f>
        <v>3236.1098</v>
      </c>
      <c r="J14" s="76">
        <f t="shared" si="4"/>
        <v>3236.1098</v>
      </c>
      <c r="K14" s="76">
        <f t="shared" si="9"/>
        <v>59.61098000000001</v>
      </c>
      <c r="L14" s="70">
        <v>650</v>
      </c>
      <c r="M14" s="73">
        <f t="shared" si="6"/>
        <v>3945.72078</v>
      </c>
      <c r="N14" s="83">
        <f t="shared" si="7"/>
        <v>10763.86922</v>
      </c>
      <c r="O14" s="75">
        <f t="shared" si="8"/>
        <v>-0.3668312223529412</v>
      </c>
    </row>
    <row r="15" spans="1:15" ht="18">
      <c r="A15" s="69">
        <v>18000</v>
      </c>
      <c r="B15" s="70">
        <f t="shared" si="0"/>
        <v>2520</v>
      </c>
      <c r="C15" s="70">
        <f>A15*1!$H$3</f>
        <v>1251</v>
      </c>
      <c r="D15" s="70">
        <f>A15*1!$J$3</f>
        <v>720</v>
      </c>
      <c r="E15" s="91">
        <f t="shared" si="1"/>
        <v>4491</v>
      </c>
      <c r="F15" s="71">
        <f>E15*45/100</f>
        <v>2020.95</v>
      </c>
      <c r="G15" s="91">
        <f t="shared" si="3"/>
        <v>2470.05</v>
      </c>
      <c r="H15" s="72">
        <f t="shared" si="5"/>
        <v>15529.95</v>
      </c>
      <c r="I15" s="96">
        <f>H15*1!$B$6</f>
        <v>3416.5890000000004</v>
      </c>
      <c r="J15" s="76">
        <f t="shared" si="4"/>
        <v>3416.5890000000004</v>
      </c>
      <c r="K15" s="76">
        <f t="shared" si="9"/>
        <v>77.65890000000002</v>
      </c>
      <c r="L15" s="70">
        <v>650</v>
      </c>
      <c r="M15" s="73">
        <f t="shared" si="6"/>
        <v>4144.2479</v>
      </c>
      <c r="N15" s="83">
        <f t="shared" si="7"/>
        <v>11385.7021</v>
      </c>
      <c r="O15" s="75">
        <f t="shared" si="8"/>
        <v>-0.36746099444444447</v>
      </c>
    </row>
    <row r="16" spans="1:15" ht="18">
      <c r="A16" s="69">
        <v>19000</v>
      </c>
      <c r="B16" s="70">
        <f t="shared" si="0"/>
        <v>2660</v>
      </c>
      <c r="C16" s="70">
        <f>A16*1!$H$3</f>
        <v>1320.5000000000002</v>
      </c>
      <c r="D16" s="70">
        <f>A16*1!$J$3</f>
        <v>760</v>
      </c>
      <c r="E16" s="91">
        <f t="shared" si="1"/>
        <v>4740.5</v>
      </c>
      <c r="F16" s="71">
        <f>E16*44/100</f>
        <v>2085.82</v>
      </c>
      <c r="G16" s="91">
        <f t="shared" si="3"/>
        <v>2654.68</v>
      </c>
      <c r="H16" s="72">
        <f t="shared" si="5"/>
        <v>16345.32</v>
      </c>
      <c r="I16" s="96">
        <f>H16*1!$B$6</f>
        <v>3595.9704</v>
      </c>
      <c r="J16" s="76">
        <f t="shared" si="4"/>
        <v>3595.9704</v>
      </c>
      <c r="K16" s="76">
        <f t="shared" si="9"/>
        <v>95.59703999999999</v>
      </c>
      <c r="L16" s="70">
        <v>650</v>
      </c>
      <c r="M16" s="73">
        <f t="shared" si="6"/>
        <v>4341.567440000001</v>
      </c>
      <c r="N16" s="83">
        <f t="shared" si="7"/>
        <v>12003.752559999999</v>
      </c>
      <c r="O16" s="75">
        <f t="shared" si="8"/>
        <v>-0.3682235494736843</v>
      </c>
    </row>
    <row r="17" spans="1:15" ht="18">
      <c r="A17" s="69">
        <v>20000</v>
      </c>
      <c r="B17" s="70">
        <f t="shared" si="0"/>
        <v>2800</v>
      </c>
      <c r="C17" s="70">
        <f>A17*1!$H$3</f>
        <v>1390.0000000000002</v>
      </c>
      <c r="D17" s="70">
        <f>A17*1!$J$3</f>
        <v>800</v>
      </c>
      <c r="E17" s="91">
        <f t="shared" si="1"/>
        <v>4990</v>
      </c>
      <c r="F17" s="71">
        <f>E17*43/100</f>
        <v>2145.7</v>
      </c>
      <c r="G17" s="91">
        <f t="shared" si="3"/>
        <v>2844.3</v>
      </c>
      <c r="H17" s="72">
        <f t="shared" si="5"/>
        <v>17155.7</v>
      </c>
      <c r="I17" s="96">
        <f>H17*1!$B$6</f>
        <v>3774.2540000000004</v>
      </c>
      <c r="J17" s="76">
        <f t="shared" si="4"/>
        <v>3774.2540000000004</v>
      </c>
      <c r="K17" s="76">
        <f t="shared" si="9"/>
        <v>113.42540000000002</v>
      </c>
      <c r="L17" s="70">
        <v>650</v>
      </c>
      <c r="M17" s="73">
        <f t="shared" si="6"/>
        <v>4537.679400000001</v>
      </c>
      <c r="N17" s="83">
        <f t="shared" si="7"/>
        <v>12618.0206</v>
      </c>
      <c r="O17" s="75">
        <f t="shared" si="8"/>
        <v>-0.36909897</v>
      </c>
    </row>
    <row r="18" spans="1:15" ht="18">
      <c r="A18" s="69">
        <v>21000</v>
      </c>
      <c r="B18" s="70">
        <f t="shared" si="0"/>
        <v>2940</v>
      </c>
      <c r="C18" s="70">
        <f>A18*1!$H$3</f>
        <v>1459.5000000000002</v>
      </c>
      <c r="D18" s="70">
        <f>A18*1!$J$3</f>
        <v>840</v>
      </c>
      <c r="E18" s="91">
        <f t="shared" si="1"/>
        <v>5239.5</v>
      </c>
      <c r="F18" s="71">
        <f>E18*42/100</f>
        <v>2200.59</v>
      </c>
      <c r="G18" s="91">
        <f t="shared" si="3"/>
        <v>3038.91</v>
      </c>
      <c r="H18" s="72">
        <f t="shared" si="5"/>
        <v>17961.09</v>
      </c>
      <c r="I18" s="96">
        <f>H18*1!$B$6</f>
        <v>3951.4398</v>
      </c>
      <c r="J18" s="76">
        <f t="shared" si="4"/>
        <v>3951.4398</v>
      </c>
      <c r="K18" s="76">
        <f t="shared" si="9"/>
        <v>131.14398</v>
      </c>
      <c r="L18" s="70">
        <v>650</v>
      </c>
      <c r="M18" s="73">
        <f t="shared" si="6"/>
        <v>4732.58378</v>
      </c>
      <c r="N18" s="83">
        <f t="shared" si="7"/>
        <v>13228.50622</v>
      </c>
      <c r="O18" s="75">
        <f t="shared" si="8"/>
        <v>-0.37007113238095246</v>
      </c>
    </row>
    <row r="19" spans="1:15" ht="18">
      <c r="A19" s="69">
        <v>22000</v>
      </c>
      <c r="B19" s="70">
        <f t="shared" si="0"/>
        <v>3080</v>
      </c>
      <c r="C19" s="70">
        <f>A19*1!$H$3</f>
        <v>1529.0000000000002</v>
      </c>
      <c r="D19" s="70">
        <f>A19*1!$J$3</f>
        <v>880</v>
      </c>
      <c r="E19" s="91">
        <f t="shared" si="1"/>
        <v>5489</v>
      </c>
      <c r="F19" s="71">
        <f>E19*41/100</f>
        <v>2250.49</v>
      </c>
      <c r="G19" s="91">
        <f t="shared" si="3"/>
        <v>3238.51</v>
      </c>
      <c r="H19" s="72">
        <f t="shared" si="5"/>
        <v>18761.489999999998</v>
      </c>
      <c r="I19" s="96">
        <f>H19*1!$B$6</f>
        <v>4127.5278</v>
      </c>
      <c r="J19" s="76">
        <f t="shared" si="4"/>
        <v>4127.5278</v>
      </c>
      <c r="K19" s="76">
        <f t="shared" si="9"/>
        <v>148.75277999999997</v>
      </c>
      <c r="L19" s="70">
        <v>650</v>
      </c>
      <c r="M19" s="73">
        <f t="shared" si="6"/>
        <v>4926.28058</v>
      </c>
      <c r="N19" s="83">
        <f t="shared" si="7"/>
        <v>13835.20942</v>
      </c>
      <c r="O19" s="75">
        <f t="shared" si="8"/>
        <v>-0.3711268445454545</v>
      </c>
    </row>
    <row r="20" spans="1:15" ht="18">
      <c r="A20" s="69">
        <v>23000</v>
      </c>
      <c r="B20" s="70">
        <f t="shared" si="0"/>
        <v>3220</v>
      </c>
      <c r="C20" s="70">
        <f>A20*1!$H$3</f>
        <v>1598.5000000000002</v>
      </c>
      <c r="D20" s="70">
        <f>A20*1!$J$3</f>
        <v>920</v>
      </c>
      <c r="E20" s="91">
        <f t="shared" si="1"/>
        <v>5738.5</v>
      </c>
      <c r="F20" s="71">
        <f>E20*40/100</f>
        <v>2295.4</v>
      </c>
      <c r="G20" s="91">
        <f t="shared" si="3"/>
        <v>3443.1</v>
      </c>
      <c r="H20" s="72">
        <f t="shared" si="5"/>
        <v>19556.9</v>
      </c>
      <c r="I20" s="96">
        <f>H20*1!$B$6</f>
        <v>4302.518</v>
      </c>
      <c r="J20" s="76">
        <f t="shared" si="4"/>
        <v>4302.518</v>
      </c>
      <c r="K20" s="76">
        <f>(H20-12000)*2.2/100</f>
        <v>166.25180000000003</v>
      </c>
      <c r="L20" s="70">
        <v>650</v>
      </c>
      <c r="M20" s="73">
        <f t="shared" si="6"/>
        <v>5118.7698</v>
      </c>
      <c r="N20" s="83">
        <f t="shared" si="7"/>
        <v>14438.130200000001</v>
      </c>
      <c r="O20" s="75">
        <f t="shared" si="8"/>
        <v>-0.3722552086956521</v>
      </c>
    </row>
    <row r="21" spans="1:15" ht="18">
      <c r="A21" s="69">
        <v>24000</v>
      </c>
      <c r="B21" s="70">
        <f t="shared" si="0"/>
        <v>3360</v>
      </c>
      <c r="C21" s="70">
        <f>A21*1!$H$3</f>
        <v>1668.0000000000002</v>
      </c>
      <c r="D21" s="70">
        <f>A21*1!$J$3</f>
        <v>960</v>
      </c>
      <c r="E21" s="91">
        <f t="shared" si="1"/>
        <v>5988</v>
      </c>
      <c r="F21" s="71">
        <f>E21*39/100</f>
        <v>2335.32</v>
      </c>
      <c r="G21" s="91">
        <f t="shared" si="3"/>
        <v>3652.68</v>
      </c>
      <c r="H21" s="72">
        <f t="shared" si="5"/>
        <v>20347.32</v>
      </c>
      <c r="I21" s="76">
        <f>1!$E$6+(H21-20000)*1!$B$7</f>
        <v>4500.7228</v>
      </c>
      <c r="J21" s="76">
        <f t="shared" si="4"/>
        <v>4500.7228</v>
      </c>
      <c r="K21" s="76">
        <f>1!$K$10+(H21-12000-8000)*5/100</f>
        <v>193.36599999999999</v>
      </c>
      <c r="L21" s="70">
        <v>650</v>
      </c>
      <c r="M21" s="73">
        <f t="shared" si="6"/>
        <v>5344.0887999999995</v>
      </c>
      <c r="N21" s="83">
        <f t="shared" si="7"/>
        <v>15003.2312</v>
      </c>
      <c r="O21" s="75">
        <f t="shared" si="8"/>
        <v>-0.3748653666666667</v>
      </c>
    </row>
    <row r="22" spans="1:15" ht="18">
      <c r="A22" s="69">
        <v>25000</v>
      </c>
      <c r="B22" s="70">
        <f t="shared" si="0"/>
        <v>3500</v>
      </c>
      <c r="C22" s="70">
        <f>A22*1!$H$3</f>
        <v>1737.5000000000002</v>
      </c>
      <c r="D22" s="70">
        <f>A22*1!$J$3</f>
        <v>1000</v>
      </c>
      <c r="E22" s="91">
        <f t="shared" si="1"/>
        <v>6237.5</v>
      </c>
      <c r="F22" s="71">
        <f>E22*38/100</f>
        <v>2370.25</v>
      </c>
      <c r="G22" s="91">
        <f t="shared" si="3"/>
        <v>3867.25</v>
      </c>
      <c r="H22" s="72">
        <f t="shared" si="5"/>
        <v>21132.75</v>
      </c>
      <c r="I22" s="76">
        <f>1!$E$6+(H22-20000)*1!$B$7</f>
        <v>4728.4975</v>
      </c>
      <c r="J22" s="76">
        <f t="shared" si="4"/>
        <v>4728.4975</v>
      </c>
      <c r="K22" s="76">
        <f>1!$K$10+(H22-12000-8000)*5/100</f>
        <v>232.6375</v>
      </c>
      <c r="L22" s="70">
        <v>650</v>
      </c>
      <c r="M22" s="73">
        <f t="shared" si="6"/>
        <v>5611.135</v>
      </c>
      <c r="N22" s="83">
        <f t="shared" si="7"/>
        <v>15521.615</v>
      </c>
      <c r="O22" s="75">
        <f t="shared" si="8"/>
        <v>-0.3791354</v>
      </c>
    </row>
    <row r="23" spans="1:15" ht="18">
      <c r="A23" s="69">
        <v>26000</v>
      </c>
      <c r="B23" s="70">
        <f t="shared" si="0"/>
        <v>3640</v>
      </c>
      <c r="C23" s="70">
        <f>A23*1!$H$3</f>
        <v>1807.0000000000002</v>
      </c>
      <c r="D23" s="70">
        <f>A23*1!$J$3</f>
        <v>1040</v>
      </c>
      <c r="E23" s="91">
        <f t="shared" si="1"/>
        <v>6487</v>
      </c>
      <c r="F23" s="71">
        <f>E23*37/100</f>
        <v>2400.19</v>
      </c>
      <c r="G23" s="91">
        <f t="shared" si="3"/>
        <v>4086.81</v>
      </c>
      <c r="H23" s="72">
        <f t="shared" si="5"/>
        <v>21913.19</v>
      </c>
      <c r="I23" s="76">
        <f>1!$E$6+(H23-20000)*1!$B$7</f>
        <v>4954.8251</v>
      </c>
      <c r="J23" s="76">
        <f t="shared" si="4"/>
        <v>4954.8251</v>
      </c>
      <c r="K23" s="76">
        <f>1!$K$10+(H23-12000-8000)*5/100</f>
        <v>271.6594999999999</v>
      </c>
      <c r="L23" s="70">
        <v>650</v>
      </c>
      <c r="M23" s="73">
        <f t="shared" si="6"/>
        <v>5876.4846</v>
      </c>
      <c r="N23" s="83">
        <f t="shared" si="7"/>
        <v>16036.705399999999</v>
      </c>
      <c r="O23" s="75">
        <f t="shared" si="8"/>
        <v>-0.3832036384615385</v>
      </c>
    </row>
    <row r="24" spans="1:15" ht="18">
      <c r="A24" s="69">
        <v>27000</v>
      </c>
      <c r="B24" s="70">
        <f t="shared" si="0"/>
        <v>3780</v>
      </c>
      <c r="C24" s="70">
        <f>A24*1!$H$3</f>
        <v>1876.5000000000002</v>
      </c>
      <c r="D24" s="70">
        <f>A24*1!$J$3</f>
        <v>1080</v>
      </c>
      <c r="E24" s="91">
        <f t="shared" si="1"/>
        <v>6736.5</v>
      </c>
      <c r="F24" s="71">
        <f>E24*36/100</f>
        <v>2425.14</v>
      </c>
      <c r="G24" s="91">
        <f t="shared" si="3"/>
        <v>4311.360000000001</v>
      </c>
      <c r="H24" s="72">
        <f t="shared" si="5"/>
        <v>22688.64</v>
      </c>
      <c r="I24" s="76">
        <f>1!$E$6+(H24-20000)*1!$B$7</f>
        <v>5179.705599999999</v>
      </c>
      <c r="J24" s="76">
        <f t="shared" si="4"/>
        <v>5179.705599999999</v>
      </c>
      <c r="K24" s="76">
        <f>1!$K$10+(H24-12000-8000)*5/100</f>
        <v>310.43199999999996</v>
      </c>
      <c r="L24" s="70">
        <v>650</v>
      </c>
      <c r="M24" s="73">
        <f t="shared" si="6"/>
        <v>6140.137599999999</v>
      </c>
      <c r="N24" s="83">
        <f t="shared" si="7"/>
        <v>16548.5024</v>
      </c>
      <c r="O24" s="75">
        <f t="shared" si="8"/>
        <v>-0.3870925037037036</v>
      </c>
    </row>
    <row r="25" spans="1:15" ht="18">
      <c r="A25" s="69">
        <v>28000</v>
      </c>
      <c r="B25" s="70">
        <f t="shared" si="0"/>
        <v>3920</v>
      </c>
      <c r="C25" s="70">
        <f>A25*1!$H$3</f>
        <v>1946.0000000000002</v>
      </c>
      <c r="D25" s="70">
        <f>A25*1!$J$3</f>
        <v>1120</v>
      </c>
      <c r="E25" s="91">
        <f t="shared" si="1"/>
        <v>6986</v>
      </c>
      <c r="F25" s="71">
        <f>E25*35/100</f>
        <v>2445.1</v>
      </c>
      <c r="G25" s="91">
        <f t="shared" si="3"/>
        <v>4540.9</v>
      </c>
      <c r="H25" s="72">
        <f t="shared" si="5"/>
        <v>23459.1</v>
      </c>
      <c r="I25" s="76">
        <f>1!$E$6+(H25-20000)*1!$B$7</f>
        <v>5403.138999999999</v>
      </c>
      <c r="J25" s="76">
        <f t="shared" si="4"/>
        <v>5403.138999999999</v>
      </c>
      <c r="K25" s="76">
        <f>1!$K$10+(H25-12000-8000)*5/100</f>
        <v>348.9549999999999</v>
      </c>
      <c r="L25" s="70">
        <v>650</v>
      </c>
      <c r="M25" s="73">
        <f t="shared" si="6"/>
        <v>6402.093999999999</v>
      </c>
      <c r="N25" s="83">
        <f t="shared" si="7"/>
        <v>17057.006</v>
      </c>
      <c r="O25" s="75">
        <f t="shared" si="8"/>
        <v>-0.39082121428571426</v>
      </c>
    </row>
    <row r="26" spans="1:15" ht="18">
      <c r="A26" s="69">
        <v>29000</v>
      </c>
      <c r="B26" s="70">
        <f t="shared" si="0"/>
        <v>4060</v>
      </c>
      <c r="C26" s="70">
        <f>A26*1!$H$3</f>
        <v>2015.5000000000002</v>
      </c>
      <c r="D26" s="70">
        <f>A26*1!$J$3</f>
        <v>1160</v>
      </c>
      <c r="E26" s="91">
        <f t="shared" si="1"/>
        <v>7235.5</v>
      </c>
      <c r="F26" s="71">
        <f>E26*34/100</f>
        <v>2460.07</v>
      </c>
      <c r="G26" s="91">
        <f t="shared" si="3"/>
        <v>4775.43</v>
      </c>
      <c r="H26" s="72">
        <f t="shared" si="5"/>
        <v>24224.57</v>
      </c>
      <c r="I26" s="76">
        <f>1!$E$6+(H26-20000)*1!$B$7</f>
        <v>5625.1253</v>
      </c>
      <c r="J26" s="76">
        <f t="shared" si="4"/>
        <v>5625.1253</v>
      </c>
      <c r="K26" s="76">
        <f>1!$K$10+(H26-12000-8000)*5/100</f>
        <v>387.2285</v>
      </c>
      <c r="L26" s="70">
        <v>650</v>
      </c>
      <c r="M26" s="73">
        <f t="shared" si="6"/>
        <v>6662.3538</v>
      </c>
      <c r="N26" s="83">
        <f t="shared" si="7"/>
        <v>17562.2162</v>
      </c>
      <c r="O26" s="75">
        <f t="shared" si="8"/>
        <v>-0.3944063379310345</v>
      </c>
    </row>
    <row r="27" spans="1:15" ht="18">
      <c r="A27" s="69">
        <v>30000</v>
      </c>
      <c r="B27" s="70">
        <f t="shared" si="0"/>
        <v>4200</v>
      </c>
      <c r="C27" s="70">
        <f>A27*1!$H$3</f>
        <v>2085</v>
      </c>
      <c r="D27" s="70">
        <f>A27*1!$J$3</f>
        <v>1200</v>
      </c>
      <c r="E27" s="91">
        <f t="shared" si="1"/>
        <v>7485</v>
      </c>
      <c r="F27" s="71">
        <f>E27*33/100</f>
        <v>2470.05</v>
      </c>
      <c r="G27" s="91">
        <f t="shared" si="3"/>
        <v>5014.95</v>
      </c>
      <c r="H27" s="72">
        <f t="shared" si="5"/>
        <v>24985.05</v>
      </c>
      <c r="I27" s="76">
        <f>1!$E$6+(H27-20000)*1!$B$7</f>
        <v>5845.6645</v>
      </c>
      <c r="J27" s="76">
        <f t="shared" si="4"/>
        <v>5845.6645</v>
      </c>
      <c r="K27" s="76">
        <f>1!$K$10+(H27-12000-8000)*5/100</f>
        <v>425.25249999999994</v>
      </c>
      <c r="L27" s="70">
        <v>650</v>
      </c>
      <c r="M27" s="73">
        <f t="shared" si="6"/>
        <v>6920.9169999999995</v>
      </c>
      <c r="N27" s="83">
        <f t="shared" si="7"/>
        <v>18064.133</v>
      </c>
      <c r="O27" s="75">
        <f t="shared" si="8"/>
        <v>-0.39786223333333326</v>
      </c>
    </row>
    <row r="28" spans="1:15" ht="18">
      <c r="A28" s="69">
        <v>31000</v>
      </c>
      <c r="B28" s="70">
        <f t="shared" si="0"/>
        <v>4340</v>
      </c>
      <c r="C28" s="70">
        <f>A28*1!$H$3</f>
        <v>2154.5</v>
      </c>
      <c r="D28" s="70">
        <f>A28*1!$J$3</f>
        <v>1240</v>
      </c>
      <c r="E28" s="91">
        <f t="shared" si="1"/>
        <v>7734.5</v>
      </c>
      <c r="F28" s="71">
        <f>E28*32/100</f>
        <v>2475.04</v>
      </c>
      <c r="G28" s="91">
        <f t="shared" si="3"/>
        <v>5259.46</v>
      </c>
      <c r="H28" s="72">
        <f t="shared" si="5"/>
        <v>25740.54</v>
      </c>
      <c r="I28" s="76">
        <f>1!$E$6+(H28-20000)*1!$B$7</f>
        <v>6064.756600000001</v>
      </c>
      <c r="J28" s="76">
        <f t="shared" si="4"/>
        <v>6064.756600000001</v>
      </c>
      <c r="K28" s="76">
        <f>1!$K$10+(H28-12000-8000)*5/100</f>
        <v>463.02700000000004</v>
      </c>
      <c r="L28" s="70">
        <v>650</v>
      </c>
      <c r="M28" s="73">
        <f t="shared" si="6"/>
        <v>7177.783600000001</v>
      </c>
      <c r="N28" s="83">
        <f t="shared" si="7"/>
        <v>18562.7564</v>
      </c>
      <c r="O28" s="75">
        <f t="shared" si="8"/>
        <v>-0.40120140645161295</v>
      </c>
    </row>
    <row r="29" spans="1:15" ht="18">
      <c r="A29" s="69">
        <v>32000</v>
      </c>
      <c r="B29" s="70">
        <f t="shared" si="0"/>
        <v>4480</v>
      </c>
      <c r="C29" s="70">
        <f>A29*1!$H$3</f>
        <v>2224</v>
      </c>
      <c r="D29" s="70">
        <f>A29*1!$J$3</f>
        <v>1280</v>
      </c>
      <c r="E29" s="91">
        <f t="shared" si="1"/>
        <v>7984</v>
      </c>
      <c r="F29" s="71">
        <f>E29*31/100</f>
        <v>2475.04</v>
      </c>
      <c r="G29" s="91">
        <f t="shared" si="3"/>
        <v>5508.96</v>
      </c>
      <c r="H29" s="72">
        <f t="shared" si="5"/>
        <v>26491.04</v>
      </c>
      <c r="I29" s="76">
        <f>1!$E$6+(H29-20000)*1!$B$7</f>
        <v>6282.4016</v>
      </c>
      <c r="J29" s="76">
        <f t="shared" si="4"/>
        <v>6282.4016</v>
      </c>
      <c r="K29" s="76">
        <f>1!$K$10+(H29-12000-8000)*5/100</f>
        <v>500.552</v>
      </c>
      <c r="L29" s="70">
        <v>650</v>
      </c>
      <c r="M29" s="73">
        <f t="shared" si="6"/>
        <v>7432.9536</v>
      </c>
      <c r="N29" s="83">
        <f t="shared" si="7"/>
        <v>19058.0864</v>
      </c>
      <c r="O29" s="75">
        <f t="shared" si="8"/>
        <v>-0.4044348</v>
      </c>
    </row>
    <row r="30" spans="1:15" ht="18">
      <c r="A30" s="69">
        <v>33000</v>
      </c>
      <c r="B30" s="70">
        <f t="shared" si="0"/>
        <v>4620</v>
      </c>
      <c r="C30" s="70">
        <f>A30*1!$H$3</f>
        <v>2293.5</v>
      </c>
      <c r="D30" s="70">
        <f>A30*1!$J$3</f>
        <v>1320</v>
      </c>
      <c r="E30" s="91">
        <f t="shared" si="1"/>
        <v>8233.5</v>
      </c>
      <c r="F30" s="71">
        <f>E30*30/100</f>
        <v>2470.05</v>
      </c>
      <c r="G30" s="91">
        <f t="shared" si="3"/>
        <v>5763.45</v>
      </c>
      <c r="H30" s="72">
        <f t="shared" si="5"/>
        <v>27236.55</v>
      </c>
      <c r="I30" s="76">
        <f>1!$E$6+(H30-20000)*1!$B$7</f>
        <v>6498.5995</v>
      </c>
      <c r="J30" s="76">
        <f t="shared" si="4"/>
        <v>6498.5995</v>
      </c>
      <c r="K30" s="76">
        <f>1!$K$10+(H30-12000-8000)*5/100</f>
        <v>537.8275</v>
      </c>
      <c r="L30" s="70">
        <v>650</v>
      </c>
      <c r="M30" s="73">
        <f t="shared" si="6"/>
        <v>7686.427000000001</v>
      </c>
      <c r="N30" s="83">
        <f t="shared" si="7"/>
        <v>19550.123</v>
      </c>
      <c r="O30" s="75">
        <f t="shared" si="8"/>
        <v>-0.40757203030303035</v>
      </c>
    </row>
    <row r="31" spans="1:15" ht="18">
      <c r="A31" s="69">
        <v>34000</v>
      </c>
      <c r="B31" s="70">
        <f t="shared" si="0"/>
        <v>4760</v>
      </c>
      <c r="C31" s="70">
        <f>A31*1!$H$3</f>
        <v>2363</v>
      </c>
      <c r="D31" s="70">
        <f>A31*1!$J$3</f>
        <v>1360</v>
      </c>
      <c r="E31" s="91">
        <f t="shared" si="1"/>
        <v>8483</v>
      </c>
      <c r="F31" s="71">
        <f>E31*29/100</f>
        <v>2460.07</v>
      </c>
      <c r="G31" s="91">
        <f t="shared" si="3"/>
        <v>6022.93</v>
      </c>
      <c r="H31" s="72">
        <f t="shared" si="5"/>
        <v>27977.07</v>
      </c>
      <c r="I31" s="76">
        <f>1!$E$6+(H31-20000)*1!$B$7</f>
        <v>6713.3503</v>
      </c>
      <c r="J31" s="76">
        <f t="shared" si="4"/>
        <v>6713.3503</v>
      </c>
      <c r="K31" s="76">
        <f>1!$K$10+(H31-12000-8000)*5/100</f>
        <v>574.8534999999999</v>
      </c>
      <c r="L31" s="70">
        <v>650</v>
      </c>
      <c r="M31" s="73">
        <f t="shared" si="6"/>
        <v>7938.2038</v>
      </c>
      <c r="N31" s="83">
        <f t="shared" si="7"/>
        <v>20038.8662</v>
      </c>
      <c r="O31" s="75">
        <f t="shared" si="8"/>
        <v>-0.4106215823529412</v>
      </c>
    </row>
    <row r="32" spans="1:15" ht="18">
      <c r="A32" s="69">
        <v>35000</v>
      </c>
      <c r="B32" s="70">
        <f t="shared" si="0"/>
        <v>4900</v>
      </c>
      <c r="C32" s="70">
        <f>A32*1!$H$3</f>
        <v>2432.5</v>
      </c>
      <c r="D32" s="70">
        <f>A32*1!$J$3</f>
        <v>1400</v>
      </c>
      <c r="E32" s="91">
        <f t="shared" si="1"/>
        <v>8732.5</v>
      </c>
      <c r="F32" s="71">
        <f>E32*28/100</f>
        <v>2445.1</v>
      </c>
      <c r="G32" s="91">
        <f t="shared" si="3"/>
        <v>6287.4</v>
      </c>
      <c r="H32" s="72">
        <f t="shared" si="5"/>
        <v>28712.6</v>
      </c>
      <c r="I32" s="76">
        <f>1!$E$6+(H32-20000)*1!$B$7</f>
        <v>6926.6539999999995</v>
      </c>
      <c r="J32" s="76">
        <f t="shared" si="4"/>
        <v>6926.6539999999995</v>
      </c>
      <c r="K32" s="76">
        <f>1!$K$10+(H32-12000-8000)*5/100</f>
        <v>611.6299999999999</v>
      </c>
      <c r="L32" s="70">
        <v>650</v>
      </c>
      <c r="M32" s="73">
        <f t="shared" si="6"/>
        <v>8188.284</v>
      </c>
      <c r="N32" s="83">
        <f t="shared" si="7"/>
        <v>20524.316</v>
      </c>
      <c r="O32" s="75">
        <f t="shared" si="8"/>
        <v>-0.4135909714285715</v>
      </c>
    </row>
    <row r="33" spans="1:15" ht="18">
      <c r="A33" s="69">
        <v>36000</v>
      </c>
      <c r="B33" s="70">
        <f t="shared" si="0"/>
        <v>5040</v>
      </c>
      <c r="C33" s="70">
        <f>A33*1!$H$3</f>
        <v>2502</v>
      </c>
      <c r="D33" s="70">
        <f>A33*1!$J$3</f>
        <v>1440</v>
      </c>
      <c r="E33" s="91">
        <f t="shared" si="1"/>
        <v>8982</v>
      </c>
      <c r="F33" s="71">
        <f>E33*27/100</f>
        <v>2425.14</v>
      </c>
      <c r="G33" s="91">
        <f t="shared" si="3"/>
        <v>6556.860000000001</v>
      </c>
      <c r="H33" s="72">
        <f t="shared" si="5"/>
        <v>29443.14</v>
      </c>
      <c r="I33" s="76">
        <f>1!$E$6+(H33-20000)*1!$B$7</f>
        <v>7138.5106</v>
      </c>
      <c r="J33" s="76">
        <f t="shared" si="4"/>
        <v>7138.5106</v>
      </c>
      <c r="K33" s="76">
        <f>1!$K$10+(H33-12000-8000)*5/100</f>
        <v>648.1569999999999</v>
      </c>
      <c r="L33" s="70">
        <v>650</v>
      </c>
      <c r="M33" s="73">
        <f t="shared" si="6"/>
        <v>8436.6676</v>
      </c>
      <c r="N33" s="83">
        <f t="shared" si="7"/>
        <v>21006.4724</v>
      </c>
      <c r="O33" s="75">
        <f t="shared" si="8"/>
        <v>-0.4164868777777778</v>
      </c>
    </row>
    <row r="34" spans="1:15" ht="18">
      <c r="A34" s="69">
        <v>37000</v>
      </c>
      <c r="B34" s="70">
        <f t="shared" si="0"/>
        <v>5180</v>
      </c>
      <c r="C34" s="70">
        <f>A34*1!$H$3</f>
        <v>2571.5000000000005</v>
      </c>
      <c r="D34" s="70">
        <f>A34*1!$J$3</f>
        <v>1480</v>
      </c>
      <c r="E34" s="91">
        <f t="shared" si="1"/>
        <v>9231.5</v>
      </c>
      <c r="F34" s="71">
        <f>E34*26/100</f>
        <v>2400.19</v>
      </c>
      <c r="G34" s="91">
        <f t="shared" si="3"/>
        <v>6831.3099999999995</v>
      </c>
      <c r="H34" s="72">
        <f t="shared" si="5"/>
        <v>30168.690000000002</v>
      </c>
      <c r="I34" s="76">
        <f>1!$E$7+(H34-20000-10000)*1!$B$8</f>
        <v>7362.415300000001</v>
      </c>
      <c r="J34" s="76">
        <f t="shared" si="4"/>
        <v>7362.415300000001</v>
      </c>
      <c r="K34" s="76">
        <f>1!$K$11+(H34-12000-8000-10000)*6.5/100</f>
        <v>686.9648500000002</v>
      </c>
      <c r="L34" s="70">
        <v>650</v>
      </c>
      <c r="M34" s="73">
        <f t="shared" si="6"/>
        <v>8699.38015</v>
      </c>
      <c r="N34" s="83">
        <f t="shared" si="7"/>
        <v>21469.30985</v>
      </c>
      <c r="O34" s="75">
        <f t="shared" si="8"/>
        <v>-0.4197483824324324</v>
      </c>
    </row>
    <row r="35" spans="1:15" ht="18">
      <c r="A35" s="69">
        <v>38000</v>
      </c>
      <c r="B35" s="70">
        <f t="shared" si="0"/>
        <v>5320</v>
      </c>
      <c r="C35" s="70">
        <f>A35*1!$H$3</f>
        <v>2641.0000000000005</v>
      </c>
      <c r="D35" s="70">
        <f>A35*1!$J$3</f>
        <v>1520</v>
      </c>
      <c r="E35" s="91">
        <f t="shared" si="1"/>
        <v>9481</v>
      </c>
      <c r="F35" s="71">
        <f>E35*25/100</f>
        <v>2370.25</v>
      </c>
      <c r="G35" s="91">
        <f t="shared" si="3"/>
        <v>7110.75</v>
      </c>
      <c r="H35" s="72">
        <f t="shared" si="5"/>
        <v>30889.25</v>
      </c>
      <c r="I35" s="76">
        <f>1!$E$7+(H35-20000-10000)*1!$B$8</f>
        <v>7629.0225</v>
      </c>
      <c r="J35" s="76">
        <f t="shared" si="4"/>
        <v>7629.0225</v>
      </c>
      <c r="K35" s="76">
        <f>1!$K$11+(H35-12000-8000-10000)*6.5/100</f>
        <v>733.80125</v>
      </c>
      <c r="L35" s="70">
        <v>650</v>
      </c>
      <c r="M35" s="73">
        <f t="shared" si="6"/>
        <v>9012.82375</v>
      </c>
      <c r="N35" s="83">
        <f t="shared" si="7"/>
        <v>21876.42625</v>
      </c>
      <c r="O35" s="75">
        <f t="shared" si="8"/>
        <v>-0.424304572368421</v>
      </c>
    </row>
    <row r="36" spans="1:15" ht="18">
      <c r="A36" s="69">
        <v>39000</v>
      </c>
      <c r="B36" s="70">
        <f t="shared" si="0"/>
        <v>5460</v>
      </c>
      <c r="C36" s="70">
        <f>A36*1!$H$3</f>
        <v>2710.5000000000005</v>
      </c>
      <c r="D36" s="70">
        <f>A36*1!$J$3</f>
        <v>1560</v>
      </c>
      <c r="E36" s="91">
        <f t="shared" si="1"/>
        <v>9730.5</v>
      </c>
      <c r="F36" s="71">
        <f>E36*24/100</f>
        <v>2335.32</v>
      </c>
      <c r="G36" s="91">
        <f t="shared" si="3"/>
        <v>7395.18</v>
      </c>
      <c r="H36" s="72">
        <f t="shared" si="5"/>
        <v>31604.82</v>
      </c>
      <c r="I36" s="76">
        <f>1!$E$7+(H36-20000-10000)*1!$B$8</f>
        <v>7893.7834</v>
      </c>
      <c r="J36" s="76">
        <f t="shared" si="4"/>
        <v>7893.7834</v>
      </c>
      <c r="K36" s="76">
        <f>1!$K$11+(H36-12000-8000-10000)*6.5/100</f>
        <v>780.3133</v>
      </c>
      <c r="L36" s="70">
        <v>650</v>
      </c>
      <c r="M36" s="73">
        <f t="shared" si="6"/>
        <v>9324.0967</v>
      </c>
      <c r="N36" s="83">
        <f t="shared" si="7"/>
        <v>22280.723299999998</v>
      </c>
      <c r="O36" s="75">
        <f t="shared" si="8"/>
        <v>-0.42869940256410266</v>
      </c>
    </row>
    <row r="37" spans="1:15" ht="18">
      <c r="A37" s="69">
        <v>40000</v>
      </c>
      <c r="B37" s="70">
        <f aca="true" t="shared" si="10" ref="B37:B67">A37*14/100</f>
        <v>5600</v>
      </c>
      <c r="C37" s="70">
        <f>A37*1!$H$3</f>
        <v>2780.0000000000005</v>
      </c>
      <c r="D37" s="70">
        <f>A37*1!$J$3</f>
        <v>1600</v>
      </c>
      <c r="E37" s="91">
        <f t="shared" si="1"/>
        <v>9980</v>
      </c>
      <c r="F37" s="71">
        <f>E37*23/100</f>
        <v>2295.4</v>
      </c>
      <c r="G37" s="91">
        <f t="shared" si="3"/>
        <v>7684.6</v>
      </c>
      <c r="H37" s="72">
        <f t="shared" si="5"/>
        <v>32315.4</v>
      </c>
      <c r="I37" s="76">
        <f>1!$E$7+(H37-20000-10000)*1!$B$8</f>
        <v>8156.698</v>
      </c>
      <c r="J37" s="76">
        <f t="shared" si="4"/>
        <v>8156.698</v>
      </c>
      <c r="K37" s="76">
        <f>1!$K$11+(H37-12000-8000-10000)*6.5/100</f>
        <v>826.5010000000001</v>
      </c>
      <c r="L37" s="70">
        <v>650</v>
      </c>
      <c r="M37" s="73">
        <f t="shared" si="6"/>
        <v>9633.199</v>
      </c>
      <c r="N37" s="83">
        <f t="shared" si="7"/>
        <v>22682.201</v>
      </c>
      <c r="O37" s="75">
        <f t="shared" si="8"/>
        <v>-0.43294497499999995</v>
      </c>
    </row>
    <row r="38" spans="1:15" ht="18">
      <c r="A38" s="69">
        <v>41000</v>
      </c>
      <c r="B38" s="70">
        <f t="shared" si="10"/>
        <v>5740</v>
      </c>
      <c r="C38" s="70">
        <f>A38*1!$H$3</f>
        <v>2849.5000000000005</v>
      </c>
      <c r="D38" s="70">
        <f>A38*1!$J$3</f>
        <v>1640</v>
      </c>
      <c r="E38" s="91">
        <f t="shared" si="1"/>
        <v>10229.5</v>
      </c>
      <c r="F38" s="71">
        <f>E38*22/100</f>
        <v>2250.49</v>
      </c>
      <c r="G38" s="91">
        <f t="shared" si="3"/>
        <v>7979.01</v>
      </c>
      <c r="H38" s="72">
        <f t="shared" si="5"/>
        <v>33020.99</v>
      </c>
      <c r="I38" s="76">
        <f>1!$E$7+(H38-20000-10000)*1!$B$8</f>
        <v>8417.7663</v>
      </c>
      <c r="J38" s="76">
        <f t="shared" si="4"/>
        <v>8417.7663</v>
      </c>
      <c r="K38" s="76">
        <f>1!$K$11+(H38-12000-8000-10000)*6.5/100</f>
        <v>872.3643499999998</v>
      </c>
      <c r="L38" s="70">
        <v>650</v>
      </c>
      <c r="M38" s="73">
        <f t="shared" si="6"/>
        <v>9940.13065</v>
      </c>
      <c r="N38" s="83">
        <f t="shared" si="7"/>
        <v>23080.85935</v>
      </c>
      <c r="O38" s="75">
        <f t="shared" si="8"/>
        <v>-0.43705221097560976</v>
      </c>
    </row>
    <row r="39" spans="1:15" ht="18">
      <c r="A39" s="69">
        <v>42000</v>
      </c>
      <c r="B39" s="70">
        <f t="shared" si="10"/>
        <v>5880</v>
      </c>
      <c r="C39" s="70">
        <f>A39*1!$H$3</f>
        <v>2919.0000000000005</v>
      </c>
      <c r="D39" s="70">
        <f>A39*1!$J$3</f>
        <v>1680</v>
      </c>
      <c r="E39" s="91">
        <f t="shared" si="1"/>
        <v>10479</v>
      </c>
      <c r="F39" s="71">
        <f>E39*21/100</f>
        <v>2200.59</v>
      </c>
      <c r="G39" s="91">
        <f t="shared" si="3"/>
        <v>8278.41</v>
      </c>
      <c r="H39" s="72">
        <f t="shared" si="5"/>
        <v>33721.59</v>
      </c>
      <c r="I39" s="76">
        <f>1!$E$7+(H39-20000-10000)*1!$B$8</f>
        <v>8676.988299999999</v>
      </c>
      <c r="J39" s="76">
        <f t="shared" si="4"/>
        <v>8676.988299999999</v>
      </c>
      <c r="K39" s="76">
        <f>1!$K$11+(H39-12000-8000-10000)*6.5/100</f>
        <v>917.9033499999998</v>
      </c>
      <c r="L39" s="70">
        <v>650</v>
      </c>
      <c r="M39" s="73">
        <f t="shared" si="6"/>
        <v>10244.89165</v>
      </c>
      <c r="N39" s="83">
        <f t="shared" si="7"/>
        <v>23476.69835</v>
      </c>
      <c r="O39" s="75">
        <f t="shared" si="8"/>
        <v>-0.4410309916666667</v>
      </c>
    </row>
    <row r="40" spans="1:15" ht="18">
      <c r="A40" s="69">
        <v>43000</v>
      </c>
      <c r="B40" s="70">
        <f t="shared" si="10"/>
        <v>6020</v>
      </c>
      <c r="C40" s="70">
        <f>A40*1!$H$3</f>
        <v>2988.5000000000005</v>
      </c>
      <c r="D40" s="70">
        <f>A40*1!$J$3</f>
        <v>1720</v>
      </c>
      <c r="E40" s="91">
        <f t="shared" si="1"/>
        <v>10728.5</v>
      </c>
      <c r="F40" s="71">
        <f>E40*20/100</f>
        <v>2145.7</v>
      </c>
      <c r="G40" s="91">
        <f t="shared" si="3"/>
        <v>8582.8</v>
      </c>
      <c r="H40" s="72">
        <f t="shared" si="5"/>
        <v>34417.2</v>
      </c>
      <c r="I40" s="76">
        <f>1!$E$7+(H40-20000-10000)*1!$B$8</f>
        <v>8934.364</v>
      </c>
      <c r="J40" s="76">
        <f t="shared" si="4"/>
        <v>8934.364</v>
      </c>
      <c r="K40" s="76">
        <f>1!$K$11+(H40-12000-8000-10000)*6.5/100</f>
        <v>963.1179999999998</v>
      </c>
      <c r="L40" s="70">
        <v>650</v>
      </c>
      <c r="M40" s="73">
        <f t="shared" si="6"/>
        <v>10547.482</v>
      </c>
      <c r="N40" s="83">
        <f t="shared" si="7"/>
        <v>23869.717999999997</v>
      </c>
      <c r="O40" s="75">
        <f t="shared" si="8"/>
        <v>-0.4448902790697675</v>
      </c>
    </row>
    <row r="41" spans="1:15" ht="18">
      <c r="A41" s="69">
        <v>44000</v>
      </c>
      <c r="B41" s="70">
        <f t="shared" si="10"/>
        <v>6160</v>
      </c>
      <c r="C41" s="70">
        <f>A41*1!$H$3</f>
        <v>3058.0000000000005</v>
      </c>
      <c r="D41" s="70">
        <f>A41*1!$J$3</f>
        <v>1760</v>
      </c>
      <c r="E41" s="91">
        <f t="shared" si="1"/>
        <v>10978</v>
      </c>
      <c r="F41" s="71">
        <f>E41*19/100</f>
        <v>2085.82</v>
      </c>
      <c r="G41" s="91">
        <f t="shared" si="3"/>
        <v>8892.18</v>
      </c>
      <c r="H41" s="72">
        <f t="shared" si="5"/>
        <v>35107.82</v>
      </c>
      <c r="I41" s="76">
        <f>1!$E$7+(H41-20000-10000)*1!$B$8</f>
        <v>9189.8934</v>
      </c>
      <c r="J41" s="76">
        <f t="shared" si="4"/>
        <v>9189.8934</v>
      </c>
      <c r="K41" s="76">
        <f>1!$K$11+(H41-12000-8000-10000)*6.5/100</f>
        <v>1008.0083</v>
      </c>
      <c r="L41" s="70">
        <v>650</v>
      </c>
      <c r="M41" s="73">
        <f t="shared" si="6"/>
        <v>10847.9017</v>
      </c>
      <c r="N41" s="83">
        <f t="shared" si="7"/>
        <v>24259.918299999998</v>
      </c>
      <c r="O41" s="75">
        <f t="shared" si="8"/>
        <v>-0.4486382204545455</v>
      </c>
    </row>
    <row r="42" spans="1:15" ht="18">
      <c r="A42" s="69">
        <v>45000</v>
      </c>
      <c r="B42" s="70">
        <f t="shared" si="10"/>
        <v>6300</v>
      </c>
      <c r="C42" s="70">
        <f>A42*1!$H$3</f>
        <v>3127.5000000000005</v>
      </c>
      <c r="D42" s="70">
        <f>A42*1!$J$3</f>
        <v>1800</v>
      </c>
      <c r="E42" s="91">
        <f t="shared" si="1"/>
        <v>11227.5</v>
      </c>
      <c r="F42" s="71">
        <f>E42*18/100</f>
        <v>2020.95</v>
      </c>
      <c r="G42" s="91">
        <f t="shared" si="3"/>
        <v>9206.55</v>
      </c>
      <c r="H42" s="72">
        <f t="shared" si="5"/>
        <v>35793.45</v>
      </c>
      <c r="I42" s="76">
        <f>1!$E$7+(H42-20000-10000)*1!$B$8</f>
        <v>9443.5765</v>
      </c>
      <c r="J42" s="76">
        <f t="shared" si="4"/>
        <v>9443.5765</v>
      </c>
      <c r="K42" s="76">
        <f>1!$K$11+(H42-12000-8000-10000)*6.5/100</f>
        <v>1052.57425</v>
      </c>
      <c r="L42" s="70">
        <v>650</v>
      </c>
      <c r="M42" s="73">
        <f t="shared" si="6"/>
        <v>11146.150749999999</v>
      </c>
      <c r="N42" s="83">
        <f t="shared" si="7"/>
        <v>24647.299249999996</v>
      </c>
      <c r="O42" s="75">
        <f t="shared" si="8"/>
        <v>-0.45228223888888897</v>
      </c>
    </row>
    <row r="43" spans="1:15" ht="18">
      <c r="A43" s="69">
        <v>46000</v>
      </c>
      <c r="B43" s="70">
        <f t="shared" si="10"/>
        <v>6440</v>
      </c>
      <c r="C43" s="70">
        <f>A43*1!$H$3</f>
        <v>3197.0000000000005</v>
      </c>
      <c r="D43" s="70">
        <f>A43*1!$J$3</f>
        <v>1840</v>
      </c>
      <c r="E43" s="91">
        <f t="shared" si="1"/>
        <v>11477</v>
      </c>
      <c r="F43" s="71">
        <f>E43*17/100</f>
        <v>1951.09</v>
      </c>
      <c r="G43" s="91">
        <f t="shared" si="3"/>
        <v>9525.91</v>
      </c>
      <c r="H43" s="72">
        <f t="shared" si="5"/>
        <v>36474.09</v>
      </c>
      <c r="I43" s="76">
        <f>1!$E$7+(H43-20000-10000)*1!$B$8</f>
        <v>9695.413299999998</v>
      </c>
      <c r="J43" s="76">
        <f t="shared" si="4"/>
        <v>9695.413299999998</v>
      </c>
      <c r="K43" s="76">
        <f>1!$K$11+(H43-12000-8000-10000)*6.5/100</f>
        <v>1096.8158499999997</v>
      </c>
      <c r="L43" s="70">
        <v>650</v>
      </c>
      <c r="M43" s="73">
        <f t="shared" si="6"/>
        <v>11442.229149999997</v>
      </c>
      <c r="N43" s="83">
        <f t="shared" si="7"/>
        <v>25031.860849999997</v>
      </c>
      <c r="O43" s="75">
        <f t="shared" si="8"/>
        <v>-0.45582911195652176</v>
      </c>
    </row>
    <row r="44" spans="1:15" ht="18">
      <c r="A44" s="69">
        <v>47000</v>
      </c>
      <c r="B44" s="70">
        <f t="shared" si="10"/>
        <v>6580</v>
      </c>
      <c r="C44" s="70">
        <f>A44*1!$H$3</f>
        <v>3266.5000000000005</v>
      </c>
      <c r="D44" s="70">
        <f>A44*1!$J$3</f>
        <v>1880</v>
      </c>
      <c r="E44" s="91">
        <f t="shared" si="1"/>
        <v>11726.5</v>
      </c>
      <c r="F44" s="71">
        <f>E44*16/100</f>
        <v>1876.24</v>
      </c>
      <c r="G44" s="91">
        <f t="shared" si="3"/>
        <v>9850.26</v>
      </c>
      <c r="H44" s="72">
        <f t="shared" si="5"/>
        <v>37149.74</v>
      </c>
      <c r="I44" s="76">
        <f>1!$E$7+(H44-20000-10000)*1!$B$8</f>
        <v>9945.4038</v>
      </c>
      <c r="J44" s="76">
        <f t="shared" si="4"/>
        <v>9945.4038</v>
      </c>
      <c r="K44" s="76">
        <f>1!$K$11+(H44-12000-8000-10000)*6.5/100</f>
        <v>1140.7331</v>
      </c>
      <c r="L44" s="70">
        <v>650</v>
      </c>
      <c r="M44" s="73">
        <f t="shared" si="6"/>
        <v>11736.1369</v>
      </c>
      <c r="N44" s="83">
        <f t="shared" si="7"/>
        <v>25413.6031</v>
      </c>
      <c r="O44" s="75">
        <f t="shared" si="8"/>
        <v>-0.45928504042553187</v>
      </c>
    </row>
    <row r="45" spans="1:15" ht="18">
      <c r="A45" s="69">
        <v>48000</v>
      </c>
      <c r="B45" s="70">
        <f t="shared" si="10"/>
        <v>6720</v>
      </c>
      <c r="C45" s="70">
        <f>A45*1!$H$3</f>
        <v>3336.0000000000005</v>
      </c>
      <c r="D45" s="70">
        <f>A45*1!$J$3</f>
        <v>1920</v>
      </c>
      <c r="E45" s="91">
        <f t="shared" si="1"/>
        <v>11976</v>
      </c>
      <c r="F45" s="71">
        <f>E45*15/100</f>
        <v>1796.4</v>
      </c>
      <c r="G45" s="91">
        <f t="shared" si="3"/>
        <v>10179.6</v>
      </c>
      <c r="H45" s="72">
        <f t="shared" si="5"/>
        <v>37820.4</v>
      </c>
      <c r="I45" s="76">
        <f>1!$E$7+(H45-20000-10000)*1!$B$8</f>
        <v>10193.548</v>
      </c>
      <c r="J45" s="76">
        <f t="shared" si="4"/>
        <v>10193.548</v>
      </c>
      <c r="K45" s="76">
        <f>1!$K$11+(H45-12000-8000-10000)*6.5/100</f>
        <v>1184.326</v>
      </c>
      <c r="L45" s="70">
        <v>650</v>
      </c>
      <c r="M45" s="73">
        <f t="shared" si="6"/>
        <v>12027.874</v>
      </c>
      <c r="N45" s="83">
        <f t="shared" si="7"/>
        <v>25792.526</v>
      </c>
      <c r="O45" s="75">
        <f t="shared" si="8"/>
        <v>-0.46265570833333325</v>
      </c>
    </row>
    <row r="46" spans="1:15" ht="18">
      <c r="A46" s="69">
        <v>49000</v>
      </c>
      <c r="B46" s="70">
        <f t="shared" si="10"/>
        <v>6860</v>
      </c>
      <c r="C46" s="70">
        <f>A46*1!$H$3</f>
        <v>3405.5000000000005</v>
      </c>
      <c r="D46" s="70">
        <f>A46*1!$J$3</f>
        <v>1960</v>
      </c>
      <c r="E46" s="91">
        <f t="shared" si="1"/>
        <v>12225.5</v>
      </c>
      <c r="F46" s="71">
        <f>E46*14/100</f>
        <v>1711.57</v>
      </c>
      <c r="G46" s="91">
        <f t="shared" si="3"/>
        <v>10513.93</v>
      </c>
      <c r="H46" s="72">
        <f t="shared" si="5"/>
        <v>38486.07</v>
      </c>
      <c r="I46" s="76">
        <f>1!$E$7+(H46-20000-10000)*1!$B$8</f>
        <v>10439.8459</v>
      </c>
      <c r="J46" s="76">
        <f t="shared" si="4"/>
        <v>10439.8459</v>
      </c>
      <c r="K46" s="76">
        <f>1!$K$11+(H46-12000-8000-10000)*6.5/100</f>
        <v>1227.59455</v>
      </c>
      <c r="L46" s="70">
        <v>650</v>
      </c>
      <c r="M46" s="73">
        <f t="shared" si="6"/>
        <v>12317.44045</v>
      </c>
      <c r="N46" s="83">
        <f t="shared" si="7"/>
        <v>26168.629549999998</v>
      </c>
      <c r="O46" s="75">
        <f t="shared" si="8"/>
        <v>-0.4659463357142858</v>
      </c>
    </row>
    <row r="47" spans="1:15" ht="18">
      <c r="A47" s="69">
        <v>50000</v>
      </c>
      <c r="B47" s="70">
        <f t="shared" si="10"/>
        <v>7000</v>
      </c>
      <c r="C47" s="70">
        <f>A47*1!$H$3</f>
        <v>3475.0000000000005</v>
      </c>
      <c r="D47" s="70">
        <f>A47*1!$J$3</f>
        <v>2000</v>
      </c>
      <c r="E47" s="91">
        <f t="shared" si="1"/>
        <v>12475</v>
      </c>
      <c r="F47" s="71">
        <f>E47*13/100</f>
        <v>1621.75</v>
      </c>
      <c r="G47" s="91">
        <f t="shared" si="3"/>
        <v>10853.25</v>
      </c>
      <c r="H47" s="72">
        <f t="shared" si="5"/>
        <v>39146.75</v>
      </c>
      <c r="I47" s="76">
        <f>1!$E$7+(H47-20000-10000)*1!$B$8</f>
        <v>10684.2975</v>
      </c>
      <c r="J47" s="76">
        <f t="shared" si="4"/>
        <v>10684.2975</v>
      </c>
      <c r="K47" s="76">
        <f>1!$K$11+(H47-12000-8000-10000)*6.5/100</f>
        <v>1270.5387500000002</v>
      </c>
      <c r="L47" s="70">
        <v>650</v>
      </c>
      <c r="M47" s="73">
        <f t="shared" si="6"/>
        <v>12604.83625</v>
      </c>
      <c r="N47" s="83">
        <f t="shared" si="7"/>
        <v>26541.91375</v>
      </c>
      <c r="O47" s="75">
        <f t="shared" si="8"/>
        <v>-0.469161725</v>
      </c>
    </row>
    <row r="48" spans="1:15" ht="18">
      <c r="A48" s="69">
        <v>51000</v>
      </c>
      <c r="B48" s="70">
        <f t="shared" si="10"/>
        <v>7140</v>
      </c>
      <c r="C48" s="70">
        <f>A48*1!$H$3</f>
        <v>3544.5000000000005</v>
      </c>
      <c r="D48" s="70">
        <f>A48*1!$J$3</f>
        <v>2040</v>
      </c>
      <c r="E48" s="91">
        <f t="shared" si="1"/>
        <v>12724.5</v>
      </c>
      <c r="F48" s="71">
        <f>E48*12/100</f>
        <v>1526.94</v>
      </c>
      <c r="G48" s="91">
        <f t="shared" si="3"/>
        <v>11197.56</v>
      </c>
      <c r="H48" s="72">
        <f t="shared" si="5"/>
        <v>39802.44</v>
      </c>
      <c r="I48" s="76">
        <f>1!$E$7+(H48-20000-10000)*1!$B$8</f>
        <v>10926.9028</v>
      </c>
      <c r="J48" s="76">
        <f t="shared" si="4"/>
        <v>10926.9028</v>
      </c>
      <c r="K48" s="76">
        <f>1!$K$11+(H48-12000-8000-10000)*6.5/100</f>
        <v>1313.1586000000002</v>
      </c>
      <c r="L48" s="70">
        <v>650</v>
      </c>
      <c r="M48" s="73">
        <f t="shared" si="6"/>
        <v>12890.0614</v>
      </c>
      <c r="N48" s="83">
        <f t="shared" si="7"/>
        <v>26912.378600000004</v>
      </c>
      <c r="O48" s="75">
        <f t="shared" si="8"/>
        <v>-0.47230630196078427</v>
      </c>
    </row>
    <row r="49" spans="1:15" ht="18">
      <c r="A49" s="69">
        <v>52000</v>
      </c>
      <c r="B49" s="70">
        <f t="shared" si="10"/>
        <v>7280</v>
      </c>
      <c r="C49" s="70">
        <f>A49*1!$H$3</f>
        <v>3614.0000000000005</v>
      </c>
      <c r="D49" s="70">
        <f>A49*1!$J$3</f>
        <v>2080</v>
      </c>
      <c r="E49" s="91">
        <f t="shared" si="1"/>
        <v>12974</v>
      </c>
      <c r="F49" s="71">
        <f>E49*11/100</f>
        <v>1427.14</v>
      </c>
      <c r="G49" s="91">
        <f t="shared" si="3"/>
        <v>11546.86</v>
      </c>
      <c r="H49" s="72">
        <f t="shared" si="5"/>
        <v>40453.14</v>
      </c>
      <c r="I49" s="76">
        <f>1!$E$8+(H49-20000-10000-10000)*1!$B$9</f>
        <v>11203.913</v>
      </c>
      <c r="J49" s="76">
        <f t="shared" si="4"/>
        <v>11203.913</v>
      </c>
      <c r="K49" s="76">
        <f>1!$K$12+(H49-12000-8000-10000-10000)*7.5/100</f>
        <v>1359.9855</v>
      </c>
      <c r="L49" s="70">
        <v>650</v>
      </c>
      <c r="M49" s="73">
        <f t="shared" si="6"/>
        <v>13213.898500000001</v>
      </c>
      <c r="N49" s="83">
        <f t="shared" si="7"/>
        <v>27239.241499999996</v>
      </c>
      <c r="O49" s="75">
        <f t="shared" si="8"/>
        <v>-0.4761684326923078</v>
      </c>
    </row>
    <row r="50" spans="1:15" ht="18">
      <c r="A50" s="69">
        <v>53000</v>
      </c>
      <c r="B50" s="70">
        <f t="shared" si="10"/>
        <v>7420</v>
      </c>
      <c r="C50" s="70">
        <f>A50*1!$H$3</f>
        <v>3683.5000000000005</v>
      </c>
      <c r="D50" s="70">
        <f>A50*1!$J$3</f>
        <v>2120</v>
      </c>
      <c r="E50" s="91">
        <f t="shared" si="1"/>
        <v>13223.5</v>
      </c>
      <c r="F50" s="71">
        <f>E50*10/100</f>
        <v>1322.35</v>
      </c>
      <c r="G50" s="91">
        <f t="shared" si="3"/>
        <v>11901.15</v>
      </c>
      <c r="H50" s="72">
        <f t="shared" si="5"/>
        <v>41098.85</v>
      </c>
      <c r="I50" s="76">
        <f>1!$E$8+(H50-20000-10000-10000)*1!$B$9</f>
        <v>11494.4825</v>
      </c>
      <c r="J50" s="76">
        <f t="shared" si="4"/>
        <v>11494.4825</v>
      </c>
      <c r="K50" s="76">
        <f>1!$K$12+(H50-12000-8000-10000-10000)*7.5/100</f>
        <v>1408.41375</v>
      </c>
      <c r="L50" s="70">
        <v>650</v>
      </c>
      <c r="M50" s="73">
        <f t="shared" si="6"/>
        <v>13552.89625</v>
      </c>
      <c r="N50" s="83">
        <f t="shared" si="7"/>
        <v>27545.95375</v>
      </c>
      <c r="O50" s="75">
        <f t="shared" si="8"/>
        <v>-0.48026502358490564</v>
      </c>
    </row>
    <row r="51" spans="1:15" ht="18">
      <c r="A51" s="69">
        <v>54000</v>
      </c>
      <c r="B51" s="70">
        <f t="shared" si="10"/>
        <v>7560</v>
      </c>
      <c r="C51" s="70">
        <f>A51*1!$H$3</f>
        <v>3753.0000000000005</v>
      </c>
      <c r="D51" s="70">
        <f>A51*1!$J$3</f>
        <v>2160</v>
      </c>
      <c r="E51" s="91">
        <f t="shared" si="1"/>
        <v>13473</v>
      </c>
      <c r="F51" s="71">
        <f>E51*9/100</f>
        <v>1212.57</v>
      </c>
      <c r="G51" s="91">
        <f t="shared" si="3"/>
        <v>12260.43</v>
      </c>
      <c r="H51" s="72">
        <f t="shared" si="5"/>
        <v>41739.57</v>
      </c>
      <c r="I51" s="76">
        <f>1!$E$8+(H51-20000-10000-10000)*1!$B$9</f>
        <v>11782.8065</v>
      </c>
      <c r="J51" s="76">
        <f t="shared" si="4"/>
        <v>11782.8065</v>
      </c>
      <c r="K51" s="76">
        <f>1!$K$12+(H51-12000-8000-10000-10000)*7.5/100</f>
        <v>1456.46775</v>
      </c>
      <c r="L51" s="70">
        <v>650</v>
      </c>
      <c r="M51" s="73">
        <f t="shared" si="6"/>
        <v>13889.27425</v>
      </c>
      <c r="N51" s="83">
        <f t="shared" si="7"/>
        <v>27850.295749999997</v>
      </c>
      <c r="O51" s="75">
        <f t="shared" si="8"/>
        <v>-0.48425378240740746</v>
      </c>
    </row>
    <row r="52" spans="1:15" ht="18">
      <c r="A52" s="69">
        <v>55000</v>
      </c>
      <c r="B52" s="70">
        <f t="shared" si="10"/>
        <v>7700</v>
      </c>
      <c r="C52" s="70">
        <f>A52*1!$H$3</f>
        <v>3822.5000000000005</v>
      </c>
      <c r="D52" s="70">
        <f>A52*1!$J$3</f>
        <v>2200</v>
      </c>
      <c r="E52" s="91">
        <f t="shared" si="1"/>
        <v>13722.5</v>
      </c>
      <c r="F52" s="71">
        <f>E52*8/100</f>
        <v>1097.8</v>
      </c>
      <c r="G52" s="91">
        <f t="shared" si="3"/>
        <v>12624.7</v>
      </c>
      <c r="H52" s="72">
        <f t="shared" si="5"/>
        <v>42375.3</v>
      </c>
      <c r="I52" s="76">
        <f>1!$E$8+(H52-20000-10000-10000)*1!$B$9</f>
        <v>12068.885000000002</v>
      </c>
      <c r="J52" s="76">
        <f t="shared" si="4"/>
        <v>12068.885000000002</v>
      </c>
      <c r="K52" s="76">
        <f>1!$K$12+(H52-12000-8000-10000-10000)*7.5/100</f>
        <v>1504.1475000000003</v>
      </c>
      <c r="L52" s="70">
        <v>650</v>
      </c>
      <c r="M52" s="73">
        <f t="shared" si="6"/>
        <v>14223.032500000003</v>
      </c>
      <c r="N52" s="83">
        <f t="shared" si="7"/>
        <v>28152.2675</v>
      </c>
      <c r="O52" s="75">
        <f t="shared" si="8"/>
        <v>-0.4881405909090909</v>
      </c>
    </row>
    <row r="53" spans="1:15" ht="18">
      <c r="A53" s="69">
        <v>56000</v>
      </c>
      <c r="B53" s="70">
        <f t="shared" si="10"/>
        <v>7840</v>
      </c>
      <c r="C53" s="70">
        <f>A53*1!$H$3</f>
        <v>3892.0000000000005</v>
      </c>
      <c r="D53" s="70">
        <f>A53*1!$J$3</f>
        <v>2240</v>
      </c>
      <c r="E53" s="91">
        <f t="shared" si="1"/>
        <v>13972</v>
      </c>
      <c r="F53" s="71">
        <f>E53*7/100</f>
        <v>978.04</v>
      </c>
      <c r="G53" s="91">
        <f t="shared" si="3"/>
        <v>12993.96</v>
      </c>
      <c r="H53" s="72">
        <f t="shared" si="5"/>
        <v>43006.04</v>
      </c>
      <c r="I53" s="76">
        <f>1!$E$8+(H53-20000-10000-10000)*1!$B$9</f>
        <v>12352.718</v>
      </c>
      <c r="J53" s="76">
        <f t="shared" si="4"/>
        <v>12352.718</v>
      </c>
      <c r="K53" s="76">
        <f>1!$K$12+(H53-12000-8000-10000-10000)*7.5/100</f>
        <v>1551.453</v>
      </c>
      <c r="L53" s="70">
        <v>650</v>
      </c>
      <c r="M53" s="73">
        <f t="shared" si="6"/>
        <v>14554.171</v>
      </c>
      <c r="N53" s="83">
        <f t="shared" si="7"/>
        <v>28451.869</v>
      </c>
      <c r="O53" s="75">
        <f t="shared" si="8"/>
        <v>-0.49193091071428574</v>
      </c>
    </row>
    <row r="54" spans="1:15" ht="18">
      <c r="A54" s="69">
        <v>57000</v>
      </c>
      <c r="B54" s="70">
        <f t="shared" si="10"/>
        <v>7980</v>
      </c>
      <c r="C54" s="70">
        <f>A54*1!$H$3</f>
        <v>3961.5000000000005</v>
      </c>
      <c r="D54" s="70">
        <f>A54*1!$J$3</f>
        <v>2280</v>
      </c>
      <c r="E54" s="91">
        <f t="shared" si="1"/>
        <v>14221.5</v>
      </c>
      <c r="F54" s="71">
        <f>E54*6/100</f>
        <v>853.29</v>
      </c>
      <c r="G54" s="91">
        <f t="shared" si="3"/>
        <v>13368.21</v>
      </c>
      <c r="H54" s="72">
        <f t="shared" si="5"/>
        <v>43631.79</v>
      </c>
      <c r="I54" s="76">
        <f>1!$E$8+(H54-20000-10000-10000)*1!$B$9</f>
        <v>12634.3055</v>
      </c>
      <c r="J54" s="76">
        <f t="shared" si="4"/>
        <v>12634.3055</v>
      </c>
      <c r="K54" s="76">
        <f>1!$K$12+(H54-12000-8000-10000-10000)*7.5/100</f>
        <v>1598.38425</v>
      </c>
      <c r="L54" s="70">
        <v>650</v>
      </c>
      <c r="M54" s="73">
        <f t="shared" si="6"/>
        <v>14882.689750000001</v>
      </c>
      <c r="N54" s="83">
        <f t="shared" si="7"/>
        <v>28749.10025</v>
      </c>
      <c r="O54" s="75">
        <f t="shared" si="8"/>
        <v>-0.49562982017543855</v>
      </c>
    </row>
    <row r="55" spans="1:15" ht="18">
      <c r="A55" s="69">
        <v>58000</v>
      </c>
      <c r="B55" s="70">
        <f t="shared" si="10"/>
        <v>8120</v>
      </c>
      <c r="C55" s="70">
        <f>A55*1!$H$3</f>
        <v>4031.0000000000005</v>
      </c>
      <c r="D55" s="70">
        <f>A55*1!$J$3</f>
        <v>2320</v>
      </c>
      <c r="E55" s="91">
        <f t="shared" si="1"/>
        <v>14471</v>
      </c>
      <c r="F55" s="71">
        <f>E55*5/100</f>
        <v>723.55</v>
      </c>
      <c r="G55" s="91">
        <f t="shared" si="3"/>
        <v>13747.45</v>
      </c>
      <c r="H55" s="72">
        <f t="shared" si="5"/>
        <v>44252.55</v>
      </c>
      <c r="I55" s="76">
        <f>1!$E$8+(H55-20000-10000-10000)*1!$B$9</f>
        <v>12913.647500000001</v>
      </c>
      <c r="J55" s="76">
        <f t="shared" si="4"/>
        <v>12913.647500000001</v>
      </c>
      <c r="K55" s="76">
        <f>1!$K$12+(H55-12000-8000-10000-10000)*7.5/100</f>
        <v>1644.9412500000003</v>
      </c>
      <c r="L55" s="70">
        <v>650</v>
      </c>
      <c r="M55" s="73">
        <f t="shared" si="6"/>
        <v>15208.58875</v>
      </c>
      <c r="N55" s="83">
        <f t="shared" si="7"/>
        <v>29043.96125</v>
      </c>
      <c r="O55" s="75">
        <f t="shared" si="8"/>
        <v>-0.4992420474137931</v>
      </c>
    </row>
    <row r="56" spans="1:15" ht="18">
      <c r="A56" s="69">
        <v>59000</v>
      </c>
      <c r="B56" s="70">
        <f t="shared" si="10"/>
        <v>8260</v>
      </c>
      <c r="C56" s="70">
        <f>A56*1!$H$3</f>
        <v>4100.5</v>
      </c>
      <c r="D56" s="70">
        <f>A56*1!$J$3</f>
        <v>2360</v>
      </c>
      <c r="E56" s="91">
        <f t="shared" si="1"/>
        <v>14720.5</v>
      </c>
      <c r="F56" s="71">
        <v>0</v>
      </c>
      <c r="G56" s="91">
        <f t="shared" si="3"/>
        <v>14720.5</v>
      </c>
      <c r="H56" s="72">
        <f t="shared" si="5"/>
        <v>44279.5</v>
      </c>
      <c r="I56" s="76">
        <f>1!$E$8+(H56-20000-10000-10000)*1!$B$9</f>
        <v>12925.775</v>
      </c>
      <c r="J56" s="76">
        <f t="shared" si="4"/>
        <v>12925.775</v>
      </c>
      <c r="K56" s="76">
        <f>1!$K$12+(H56-12000-8000-10000-10000)*7.5/100</f>
        <v>1646.9625</v>
      </c>
      <c r="L56" s="70">
        <v>650</v>
      </c>
      <c r="M56" s="73">
        <f t="shared" si="6"/>
        <v>15222.7375</v>
      </c>
      <c r="N56" s="83">
        <f t="shared" si="7"/>
        <v>29056.7625</v>
      </c>
      <c r="O56" s="75">
        <f t="shared" si="8"/>
        <v>-0.5075125</v>
      </c>
    </row>
    <row r="57" spans="1:15" ht="18">
      <c r="A57" s="69">
        <v>60000</v>
      </c>
      <c r="B57" s="70">
        <f t="shared" si="10"/>
        <v>8400</v>
      </c>
      <c r="C57" s="70">
        <f>A57*1!$H$3</f>
        <v>4170</v>
      </c>
      <c r="D57" s="70">
        <f>A57*1!$J$3</f>
        <v>2400</v>
      </c>
      <c r="E57" s="91">
        <f t="shared" si="1"/>
        <v>14970</v>
      </c>
      <c r="F57" s="71">
        <v>0</v>
      </c>
      <c r="G57" s="91">
        <f t="shared" si="3"/>
        <v>14970</v>
      </c>
      <c r="H57" s="72">
        <f t="shared" si="5"/>
        <v>45030</v>
      </c>
      <c r="I57" s="76">
        <f>1!$E$8+(H57-20000-10000-10000)*1!$B$9</f>
        <v>13263.5</v>
      </c>
      <c r="J57" s="76">
        <f t="shared" si="4"/>
        <v>13263.5</v>
      </c>
      <c r="K57" s="76">
        <f>1!$K$12+(H57-12000-8000-10000-10000)*7.5/100</f>
        <v>1703.25</v>
      </c>
      <c r="L57" s="70">
        <v>650</v>
      </c>
      <c r="M57" s="73">
        <f t="shared" si="6"/>
        <v>15616.75</v>
      </c>
      <c r="N57" s="83">
        <f t="shared" si="7"/>
        <v>29413.25</v>
      </c>
      <c r="O57" s="75">
        <f t="shared" si="8"/>
        <v>-0.5097791666666667</v>
      </c>
    </row>
    <row r="58" spans="1:15" ht="18">
      <c r="A58" s="69">
        <v>61000</v>
      </c>
      <c r="B58" s="70">
        <f t="shared" si="10"/>
        <v>8540</v>
      </c>
      <c r="C58" s="70">
        <f>A58*1!$H$3</f>
        <v>4239.5</v>
      </c>
      <c r="D58" s="70">
        <f>A58*1!$J$3</f>
        <v>2440</v>
      </c>
      <c r="E58" s="91">
        <f t="shared" si="1"/>
        <v>15219.5</v>
      </c>
      <c r="F58" s="71">
        <v>0</v>
      </c>
      <c r="G58" s="91">
        <f t="shared" si="3"/>
        <v>15219.5</v>
      </c>
      <c r="H58" s="72">
        <f t="shared" si="5"/>
        <v>45780.5</v>
      </c>
      <c r="I58" s="76">
        <f>1!$E$8+(H58-20000-10000-10000)*1!$B$9</f>
        <v>13601.225</v>
      </c>
      <c r="J58" s="76">
        <f t="shared" si="4"/>
        <v>13601.225</v>
      </c>
      <c r="K58" s="76">
        <f>1!$K$12+(H58-12000-8000-10000-10000)*7.5/100</f>
        <v>1759.5375</v>
      </c>
      <c r="L58" s="70">
        <v>650</v>
      </c>
      <c r="M58" s="73">
        <f t="shared" si="6"/>
        <v>16010.7625</v>
      </c>
      <c r="N58" s="83">
        <f t="shared" si="7"/>
        <v>29769.7375</v>
      </c>
      <c r="O58" s="75">
        <f t="shared" si="8"/>
        <v>-0.5119715163934426</v>
      </c>
    </row>
    <row r="59" spans="1:15" ht="18">
      <c r="A59" s="69">
        <v>62000</v>
      </c>
      <c r="B59" s="70">
        <f t="shared" si="10"/>
        <v>8680</v>
      </c>
      <c r="C59" s="70">
        <f>A59*1!$H$3</f>
        <v>4309</v>
      </c>
      <c r="D59" s="70">
        <f>A59*1!$J$3</f>
        <v>2480</v>
      </c>
      <c r="E59" s="91">
        <f t="shared" si="1"/>
        <v>15469</v>
      </c>
      <c r="F59" s="71">
        <v>0</v>
      </c>
      <c r="G59" s="91">
        <f t="shared" si="3"/>
        <v>15469</v>
      </c>
      <c r="H59" s="72">
        <f t="shared" si="5"/>
        <v>46531</v>
      </c>
      <c r="I59" s="76">
        <f>1!$E$8+(H59-20000-10000-10000)*1!$B$9</f>
        <v>13938.95</v>
      </c>
      <c r="J59" s="76">
        <f t="shared" si="4"/>
        <v>13938.95</v>
      </c>
      <c r="K59" s="76">
        <f>1!$K$12+(H59-12000-8000-10000-10000)*7.5/100</f>
        <v>1815.825</v>
      </c>
      <c r="L59" s="70">
        <v>650</v>
      </c>
      <c r="M59" s="73">
        <f t="shared" si="6"/>
        <v>16404.775</v>
      </c>
      <c r="N59" s="83">
        <f t="shared" si="7"/>
        <v>30126.225</v>
      </c>
      <c r="O59" s="75">
        <f t="shared" si="8"/>
        <v>-0.5140931451612903</v>
      </c>
    </row>
    <row r="60" spans="1:15" ht="18">
      <c r="A60" s="69">
        <v>63000</v>
      </c>
      <c r="B60" s="70">
        <f t="shared" si="10"/>
        <v>8820</v>
      </c>
      <c r="C60" s="70">
        <f>A60*1!$H$3</f>
        <v>4378.5</v>
      </c>
      <c r="D60" s="70">
        <f>A60*1!$J$3</f>
        <v>2520</v>
      </c>
      <c r="E60" s="91">
        <f t="shared" si="1"/>
        <v>15718.5</v>
      </c>
      <c r="F60" s="71">
        <v>0</v>
      </c>
      <c r="G60" s="91">
        <f t="shared" si="3"/>
        <v>15718.5</v>
      </c>
      <c r="H60" s="72">
        <f t="shared" si="5"/>
        <v>47281.5</v>
      </c>
      <c r="I60" s="76">
        <f>1!$E$8+(H60-20000-10000-10000)*1!$B$9</f>
        <v>14276.675</v>
      </c>
      <c r="J60" s="76">
        <f t="shared" si="4"/>
        <v>14276.675</v>
      </c>
      <c r="K60" s="76">
        <f>1!$K$12+(H60-12000-8000-10000-10000)*7.5/100</f>
        <v>1872.1125</v>
      </c>
      <c r="L60" s="70">
        <v>650</v>
      </c>
      <c r="M60" s="73">
        <f t="shared" si="6"/>
        <v>16798.7875</v>
      </c>
      <c r="N60" s="83">
        <f t="shared" si="7"/>
        <v>30482.7125</v>
      </c>
      <c r="O60" s="75">
        <f t="shared" si="8"/>
        <v>-0.5161474206349206</v>
      </c>
    </row>
    <row r="61" spans="1:15" ht="18">
      <c r="A61" s="69">
        <v>64000</v>
      </c>
      <c r="B61" s="70">
        <f t="shared" si="10"/>
        <v>8960</v>
      </c>
      <c r="C61" s="70">
        <f>A61*1!$H$3</f>
        <v>4448</v>
      </c>
      <c r="D61" s="70">
        <f>A61*1!$J$3</f>
        <v>2560</v>
      </c>
      <c r="E61" s="91">
        <f t="shared" si="1"/>
        <v>15968</v>
      </c>
      <c r="F61" s="71">
        <v>0</v>
      </c>
      <c r="G61" s="91">
        <f t="shared" si="3"/>
        <v>15968</v>
      </c>
      <c r="H61" s="72">
        <f t="shared" si="5"/>
        <v>48032</v>
      </c>
      <c r="I61" s="76">
        <f>1!$E$8+(H61-20000-10000-10000)*1!$B$9</f>
        <v>14614.4</v>
      </c>
      <c r="J61" s="76">
        <f t="shared" si="4"/>
        <v>14614.4</v>
      </c>
      <c r="K61" s="76">
        <f>1!$K$12+(H61-12000-8000-10000-10000)*7.5/100</f>
        <v>1928.4</v>
      </c>
      <c r="L61" s="70">
        <v>650</v>
      </c>
      <c r="M61" s="73">
        <f t="shared" si="6"/>
        <v>17192.8</v>
      </c>
      <c r="N61" s="83">
        <f t="shared" si="7"/>
        <v>30839.2</v>
      </c>
      <c r="O61" s="75">
        <f t="shared" si="8"/>
        <v>-0.5181374999999999</v>
      </c>
    </row>
    <row r="62" spans="1:15" ht="18">
      <c r="A62" s="69">
        <v>65000</v>
      </c>
      <c r="B62" s="70">
        <f t="shared" si="10"/>
        <v>9100</v>
      </c>
      <c r="C62" s="70">
        <f>A62*1!$H$3</f>
        <v>4517.5</v>
      </c>
      <c r="D62" s="70">
        <f>A62*1!$J$3</f>
        <v>2600</v>
      </c>
      <c r="E62" s="91">
        <f t="shared" si="1"/>
        <v>16217.5</v>
      </c>
      <c r="F62" s="71">
        <v>0</v>
      </c>
      <c r="G62" s="91">
        <f t="shared" si="3"/>
        <v>16217.5</v>
      </c>
      <c r="H62" s="72">
        <f t="shared" si="5"/>
        <v>48782.5</v>
      </c>
      <c r="I62" s="76">
        <f>1!$E$8+(H62-20000-10000-10000)*1!$B$9</f>
        <v>14952.125</v>
      </c>
      <c r="J62" s="76">
        <f t="shared" si="4"/>
        <v>14952.125</v>
      </c>
      <c r="K62" s="76">
        <f>1!$K$12+(H62-12000-8000-10000-10000)*7.5/100</f>
        <v>1984.6875</v>
      </c>
      <c r="L62" s="70">
        <v>650</v>
      </c>
      <c r="M62" s="73">
        <f t="shared" si="6"/>
        <v>17586.8125</v>
      </c>
      <c r="N62" s="83">
        <f t="shared" si="7"/>
        <v>31195.6875</v>
      </c>
      <c r="O62" s="75">
        <f t="shared" si="8"/>
        <v>-0.5200663461538462</v>
      </c>
    </row>
    <row r="63" spans="1:15" ht="18">
      <c r="A63" s="69">
        <v>66000</v>
      </c>
      <c r="B63" s="70">
        <f t="shared" si="10"/>
        <v>9240</v>
      </c>
      <c r="C63" s="70">
        <f>A63*1!$H$3</f>
        <v>4587</v>
      </c>
      <c r="D63" s="70">
        <f>A63*1!$J$3</f>
        <v>2640</v>
      </c>
      <c r="E63" s="91">
        <f t="shared" si="1"/>
        <v>16467</v>
      </c>
      <c r="F63" s="71">
        <v>0</v>
      </c>
      <c r="G63" s="91">
        <f t="shared" si="3"/>
        <v>16467</v>
      </c>
      <c r="H63" s="72">
        <f t="shared" si="5"/>
        <v>49533</v>
      </c>
      <c r="I63" s="76">
        <f>1!$E$8+(H63-20000-10000-10000)*1!$B$9</f>
        <v>15289.85</v>
      </c>
      <c r="J63" s="76">
        <f t="shared" si="4"/>
        <v>15289.85</v>
      </c>
      <c r="K63" s="76">
        <f>1!$K$12+(H63-12000-8000-10000-10000)*7.5/100</f>
        <v>2040.975</v>
      </c>
      <c r="L63" s="70">
        <v>650</v>
      </c>
      <c r="M63" s="73">
        <f t="shared" si="6"/>
        <v>17980.825</v>
      </c>
      <c r="N63" s="83">
        <f t="shared" si="7"/>
        <v>31552.175</v>
      </c>
      <c r="O63" s="75">
        <f t="shared" si="8"/>
        <v>-0.5219367424242425</v>
      </c>
    </row>
    <row r="64" spans="1:15" ht="18">
      <c r="A64" s="69">
        <v>67000</v>
      </c>
      <c r="B64" s="76">
        <f t="shared" si="10"/>
        <v>9380</v>
      </c>
      <c r="C64" s="76">
        <f>A64*1!$H$3</f>
        <v>4656.5</v>
      </c>
      <c r="D64" s="76">
        <f>A64*1!$J$3</f>
        <v>2680</v>
      </c>
      <c r="E64" s="91">
        <f t="shared" si="1"/>
        <v>16716.5</v>
      </c>
      <c r="F64" s="71">
        <v>0</v>
      </c>
      <c r="G64" s="91">
        <f t="shared" si="3"/>
        <v>16716.5</v>
      </c>
      <c r="H64" s="72">
        <f t="shared" si="5"/>
        <v>50283.5</v>
      </c>
      <c r="I64" s="76">
        <f>1!$E$8+(H64-20000-10000-10000)*1!$B$9</f>
        <v>15627.575</v>
      </c>
      <c r="J64" s="76">
        <f t="shared" si="4"/>
        <v>15627.575</v>
      </c>
      <c r="K64" s="76">
        <f>1!$K$12+(H64-12000-8000-10000-10000)*7.5/100</f>
        <v>2097.2625</v>
      </c>
      <c r="L64" s="76">
        <v>650</v>
      </c>
      <c r="M64" s="73">
        <f t="shared" si="6"/>
        <v>18374.8375</v>
      </c>
      <c r="N64" s="83">
        <f t="shared" si="7"/>
        <v>31908.6625</v>
      </c>
      <c r="O64" s="75">
        <f t="shared" si="8"/>
        <v>-0.5237513059701493</v>
      </c>
    </row>
    <row r="65" spans="1:15" ht="18">
      <c r="A65" s="69">
        <v>68000</v>
      </c>
      <c r="B65" s="70">
        <f t="shared" si="10"/>
        <v>9520</v>
      </c>
      <c r="C65" s="70">
        <f>A65*1!$H$3</f>
        <v>4726</v>
      </c>
      <c r="D65" s="70">
        <f>A65*1!$J$3</f>
        <v>2720</v>
      </c>
      <c r="E65" s="91">
        <f t="shared" si="1"/>
        <v>16966</v>
      </c>
      <c r="F65" s="71">
        <v>0</v>
      </c>
      <c r="G65" s="91">
        <f t="shared" si="3"/>
        <v>16966</v>
      </c>
      <c r="H65" s="72">
        <f t="shared" si="5"/>
        <v>51034</v>
      </c>
      <c r="I65" s="76">
        <f>1!$E$8+(H65-20000-10000-10000)*1!$B$9</f>
        <v>15965.3</v>
      </c>
      <c r="J65" s="76">
        <f t="shared" si="4"/>
        <v>15965.3</v>
      </c>
      <c r="K65" s="76">
        <f>1!$K$12+(H65-12000-8000-10000-10000)*7.5/100</f>
        <v>2153.55</v>
      </c>
      <c r="L65" s="70">
        <v>650</v>
      </c>
      <c r="M65" s="73">
        <f t="shared" si="6"/>
        <v>18768.85</v>
      </c>
      <c r="N65" s="83">
        <f t="shared" si="7"/>
        <v>32265.15</v>
      </c>
      <c r="O65" s="75">
        <f t="shared" si="8"/>
        <v>-0.5255125</v>
      </c>
    </row>
    <row r="66" spans="1:15" ht="18">
      <c r="A66" s="69">
        <v>69000</v>
      </c>
      <c r="B66" s="70">
        <f t="shared" si="10"/>
        <v>9660</v>
      </c>
      <c r="C66" s="70">
        <f>A66*1!$H$3</f>
        <v>4795.5</v>
      </c>
      <c r="D66" s="70">
        <f>A66*1!$J$3</f>
        <v>2760</v>
      </c>
      <c r="E66" s="91">
        <f t="shared" si="1"/>
        <v>17215.5</v>
      </c>
      <c r="F66" s="71">
        <v>0</v>
      </c>
      <c r="G66" s="91">
        <f t="shared" si="3"/>
        <v>17215.5</v>
      </c>
      <c r="H66" s="72">
        <f t="shared" si="5"/>
        <v>51784.5</v>
      </c>
      <c r="I66" s="76">
        <f>1!$E$8+(H66-20000-10000-10000)*1!$B$9</f>
        <v>16303.025000000001</v>
      </c>
      <c r="J66" s="76">
        <f t="shared" si="4"/>
        <v>16303.025000000001</v>
      </c>
      <c r="K66" s="76">
        <f>1!$K$12+(H66-12000-8000-10000-10000)*7.5/100</f>
        <v>2209.8375</v>
      </c>
      <c r="L66" s="70">
        <v>650</v>
      </c>
      <c r="M66" s="73">
        <f t="shared" si="6"/>
        <v>19162.862500000003</v>
      </c>
      <c r="N66" s="83">
        <f t="shared" si="7"/>
        <v>32621.637499999997</v>
      </c>
      <c r="O66" s="75">
        <f t="shared" si="8"/>
        <v>-0.5272226449275363</v>
      </c>
    </row>
    <row r="67" spans="1:15" ht="18">
      <c r="A67" s="69">
        <v>70329.6</v>
      </c>
      <c r="B67" s="70">
        <f t="shared" si="10"/>
        <v>9846.144000000002</v>
      </c>
      <c r="C67" s="70">
        <f>A67*1!$H$3</f>
        <v>4887.907200000001</v>
      </c>
      <c r="D67" s="70">
        <f>A67*1!$J$3</f>
        <v>2813.184</v>
      </c>
      <c r="E67" s="91">
        <f t="shared" si="1"/>
        <v>17547.235200000003</v>
      </c>
      <c r="F67" s="71">
        <v>0</v>
      </c>
      <c r="G67" s="91">
        <f t="shared" si="3"/>
        <v>17547.235200000003</v>
      </c>
      <c r="H67" s="72">
        <f>A67-G67</f>
        <v>52782.3648</v>
      </c>
      <c r="I67" s="76">
        <f>1!$E$8+(H67-20000-10000-10000)*1!$B$9</f>
        <v>16752.06416</v>
      </c>
      <c r="J67" s="76">
        <f t="shared" si="4"/>
        <v>16752.06416</v>
      </c>
      <c r="K67" s="76">
        <f>1!$K$12+(H67-12000-8000-10000-10000)*7.5/100</f>
        <v>2284.67736</v>
      </c>
      <c r="L67" s="70">
        <v>650</v>
      </c>
      <c r="M67" s="73">
        <f t="shared" si="6"/>
        <v>19686.741520000003</v>
      </c>
      <c r="N67" s="83">
        <f t="shared" si="7"/>
        <v>33095.62328</v>
      </c>
      <c r="O67" s="75">
        <f t="shared" si="8"/>
        <v>-0.5294211359086359</v>
      </c>
    </row>
    <row r="68" s="38" customFormat="1" ht="18.75">
      <c r="A68" s="139" t="s">
        <v>251</v>
      </c>
    </row>
  </sheetData>
  <sheetProtection/>
  <mergeCells count="1">
    <mergeCell ref="A1:N1"/>
  </mergeCells>
  <printOptions horizontalCentered="1"/>
  <pageMargins left="0.11811023622047245" right="0.11811023622047245" top="0.15748031496062992" bottom="0.15748031496062992" header="0.31496062992125984" footer="0.31496062992125984"/>
  <pageSetup horizontalDpi="600" verticalDpi="600" orientation="landscape" paperSize="9" scale="78" r:id="rId3"/>
  <legacyDrawing r:id="rId2"/>
</worksheet>
</file>

<file path=xl/worksheets/sheet5.xml><?xml version="1.0" encoding="utf-8"?>
<worksheet xmlns="http://schemas.openxmlformats.org/spreadsheetml/2006/main" xmlns:r="http://schemas.openxmlformats.org/officeDocument/2006/relationships">
  <dimension ref="A1:O68"/>
  <sheetViews>
    <sheetView zoomScalePageLayoutView="0" workbookViewId="0" topLeftCell="A1">
      <selection activeCell="A1" sqref="A1:N1"/>
    </sheetView>
  </sheetViews>
  <sheetFormatPr defaultColWidth="9.140625" defaultRowHeight="15"/>
  <cols>
    <col min="1" max="1" width="16.28125" style="0" customWidth="1"/>
    <col min="5" max="5" width="11.421875" style="0" bestFit="1" customWidth="1"/>
    <col min="6" max="6" width="10.140625" style="0" bestFit="1" customWidth="1"/>
    <col min="7" max="7" width="11.421875" style="0" bestFit="1" customWidth="1"/>
    <col min="8" max="8" width="12.57421875" style="0" customWidth="1"/>
    <col min="9" max="9" width="11.7109375" style="0" customWidth="1"/>
    <col min="10" max="10" width="13.7109375" style="0" bestFit="1" customWidth="1"/>
    <col min="11" max="11" width="11.8515625" style="0" bestFit="1" customWidth="1"/>
    <col min="12" max="12" width="10.57421875" style="0" bestFit="1" customWidth="1"/>
    <col min="13" max="13" width="11.421875" style="0" bestFit="1" customWidth="1"/>
    <col min="14" max="14" width="11.57421875" style="0" bestFit="1" customWidth="1"/>
  </cols>
  <sheetData>
    <row r="1" spans="1:15" ht="59.25" customHeight="1">
      <c r="A1" s="177" t="s">
        <v>227</v>
      </c>
      <c r="B1" s="177"/>
      <c r="C1" s="177"/>
      <c r="D1" s="177"/>
      <c r="E1" s="177"/>
      <c r="F1" s="177"/>
      <c r="G1" s="177"/>
      <c r="H1" s="177"/>
      <c r="I1" s="177"/>
      <c r="J1" s="177"/>
      <c r="K1" s="177"/>
      <c r="L1" s="177"/>
      <c r="M1" s="177"/>
      <c r="N1" s="177"/>
      <c r="O1" s="60" t="s">
        <v>178</v>
      </c>
    </row>
    <row r="2" spans="1:15" ht="115.5">
      <c r="A2" s="85" t="s">
        <v>195</v>
      </c>
      <c r="B2" s="85" t="s">
        <v>220</v>
      </c>
      <c r="C2" s="85" t="s">
        <v>206</v>
      </c>
      <c r="D2" s="85" t="s">
        <v>207</v>
      </c>
      <c r="E2" s="86" t="s">
        <v>198</v>
      </c>
      <c r="F2" s="64" t="s">
        <v>223</v>
      </c>
      <c r="G2" s="64" t="s">
        <v>224</v>
      </c>
      <c r="H2" s="87" t="s">
        <v>185</v>
      </c>
      <c r="I2" s="88" t="s">
        <v>201</v>
      </c>
      <c r="J2" s="85" t="s">
        <v>202</v>
      </c>
      <c r="K2" s="88" t="s">
        <v>203</v>
      </c>
      <c r="L2" s="85" t="s">
        <v>204</v>
      </c>
      <c r="M2" s="81" t="s">
        <v>216</v>
      </c>
      <c r="N2" s="42" t="s">
        <v>208</v>
      </c>
      <c r="O2" s="66" t="s">
        <v>200</v>
      </c>
    </row>
    <row r="3" spans="1:15" ht="33.75">
      <c r="A3" s="93" t="s">
        <v>186</v>
      </c>
      <c r="B3" s="93" t="s">
        <v>187</v>
      </c>
      <c r="C3" s="94" t="s">
        <v>188</v>
      </c>
      <c r="D3" s="94" t="s">
        <v>189</v>
      </c>
      <c r="E3" s="95" t="s">
        <v>196</v>
      </c>
      <c r="F3" s="95" t="s">
        <v>190</v>
      </c>
      <c r="G3" s="95" t="s">
        <v>211</v>
      </c>
      <c r="H3" s="95" t="s">
        <v>212</v>
      </c>
      <c r="I3" s="94" t="s">
        <v>193</v>
      </c>
      <c r="J3" s="94" t="s">
        <v>213</v>
      </c>
      <c r="K3" s="94" t="s">
        <v>214</v>
      </c>
      <c r="L3" s="94" t="s">
        <v>215</v>
      </c>
      <c r="M3" s="84" t="s">
        <v>217</v>
      </c>
      <c r="N3" s="61" t="s">
        <v>221</v>
      </c>
      <c r="O3" s="68" t="s">
        <v>222</v>
      </c>
    </row>
    <row r="4" spans="1:15" ht="18">
      <c r="A4" s="89" t="s">
        <v>218</v>
      </c>
      <c r="B4" s="90">
        <f>4922*17/100</f>
        <v>836.74</v>
      </c>
      <c r="C4" s="90">
        <f>4922*1!$H$3</f>
        <v>342.079</v>
      </c>
      <c r="D4" s="90">
        <f>4922*1!$J$3</f>
        <v>196.88</v>
      </c>
      <c r="E4" s="91">
        <f>SUM(B4:D4)</f>
        <v>1375.699</v>
      </c>
      <c r="F4" s="91">
        <v>0</v>
      </c>
      <c r="G4" s="91">
        <f>E4-F4</f>
        <v>1375.699</v>
      </c>
      <c r="H4" s="92">
        <f>4922-G4</f>
        <v>3546.301</v>
      </c>
      <c r="I4" s="90">
        <f>H4*1!$B$6</f>
        <v>780.1862199999999</v>
      </c>
      <c r="J4" s="90">
        <f>I4*100%</f>
        <v>780.1862199999999</v>
      </c>
      <c r="K4" s="90">
        <v>0</v>
      </c>
      <c r="L4" s="90">
        <v>650</v>
      </c>
      <c r="M4" s="73">
        <f>I4+K4+L4</f>
        <v>1430.18622</v>
      </c>
      <c r="N4" s="83">
        <f>H4-M4</f>
        <v>2116.11478</v>
      </c>
      <c r="O4" s="75">
        <f>N4/4922-1</f>
        <v>-0.5700701381552215</v>
      </c>
    </row>
    <row r="5" spans="1:15" ht="18">
      <c r="A5" s="69">
        <v>8000</v>
      </c>
      <c r="B5" s="70">
        <f aca="true" t="shared" si="0" ref="B5:B36">A5*17/100</f>
        <v>1360</v>
      </c>
      <c r="C5" s="70">
        <f>A5*1!$H$3</f>
        <v>556</v>
      </c>
      <c r="D5" s="70">
        <f>A5*1!$J$3</f>
        <v>320</v>
      </c>
      <c r="E5" s="91">
        <f aca="true" t="shared" si="1" ref="E5:E67">SUM(B5:D5)</f>
        <v>2236</v>
      </c>
      <c r="F5" s="71">
        <f aca="true" t="shared" si="2" ref="F5:F10">E5*50%</f>
        <v>1118</v>
      </c>
      <c r="G5" s="91">
        <f aca="true" t="shared" si="3" ref="G5:G67">E5-F5</f>
        <v>1118</v>
      </c>
      <c r="H5" s="72">
        <f>A5-G5</f>
        <v>6882</v>
      </c>
      <c r="I5" s="90">
        <f>H5*1!$B$6</f>
        <v>1514.04</v>
      </c>
      <c r="J5" s="70">
        <f aca="true" t="shared" si="4" ref="J5:J67">I5*100%</f>
        <v>1514.04</v>
      </c>
      <c r="K5" s="70">
        <v>0</v>
      </c>
      <c r="L5" s="70">
        <v>650</v>
      </c>
      <c r="M5" s="73">
        <f>I5+K5+L5</f>
        <v>2164.04</v>
      </c>
      <c r="N5" s="83">
        <f>H5-M5</f>
        <v>4717.96</v>
      </c>
      <c r="O5" s="75">
        <f>N5/A5-1</f>
        <v>-0.41025500000000004</v>
      </c>
    </row>
    <row r="6" spans="1:15" ht="18">
      <c r="A6" s="69">
        <v>9000</v>
      </c>
      <c r="B6" s="70">
        <f t="shared" si="0"/>
        <v>1530</v>
      </c>
      <c r="C6" s="70">
        <f>A6*1!$H$3</f>
        <v>625.5</v>
      </c>
      <c r="D6" s="70">
        <f>A6*1!$J$3</f>
        <v>360</v>
      </c>
      <c r="E6" s="91">
        <f t="shared" si="1"/>
        <v>2515.5</v>
      </c>
      <c r="F6" s="71">
        <f t="shared" si="2"/>
        <v>1257.75</v>
      </c>
      <c r="G6" s="91">
        <f t="shared" si="3"/>
        <v>1257.75</v>
      </c>
      <c r="H6" s="72">
        <f aca="true" t="shared" si="5" ref="H6:H67">A6-G6</f>
        <v>7742.25</v>
      </c>
      <c r="I6" s="90">
        <f>H6*1!$B$6</f>
        <v>1703.295</v>
      </c>
      <c r="J6" s="70">
        <f t="shared" si="4"/>
        <v>1703.295</v>
      </c>
      <c r="K6" s="76">
        <v>0</v>
      </c>
      <c r="L6" s="70">
        <v>650</v>
      </c>
      <c r="M6" s="73">
        <f aca="true" t="shared" si="6" ref="M6:M67">I6+K6+L6</f>
        <v>2353.295</v>
      </c>
      <c r="N6" s="83">
        <f aca="true" t="shared" si="7" ref="N6:N67">H6-M6</f>
        <v>5388.955</v>
      </c>
      <c r="O6" s="75">
        <f aca="true" t="shared" si="8" ref="O6:O67">N6/A6-1</f>
        <v>-0.4012272222222222</v>
      </c>
    </row>
    <row r="7" spans="1:15" ht="18">
      <c r="A7" s="69">
        <v>10000</v>
      </c>
      <c r="B7" s="70">
        <f t="shared" si="0"/>
        <v>1700</v>
      </c>
      <c r="C7" s="70">
        <f>A7*1!$H$3</f>
        <v>695.0000000000001</v>
      </c>
      <c r="D7" s="70">
        <f>A7*1!$J$3</f>
        <v>400</v>
      </c>
      <c r="E7" s="91">
        <f t="shared" si="1"/>
        <v>2795</v>
      </c>
      <c r="F7" s="71">
        <f t="shared" si="2"/>
        <v>1397.5</v>
      </c>
      <c r="G7" s="91">
        <f t="shared" si="3"/>
        <v>1397.5</v>
      </c>
      <c r="H7" s="72">
        <f t="shared" si="5"/>
        <v>8602.5</v>
      </c>
      <c r="I7" s="90">
        <f>H7*1!$B$6</f>
        <v>1892.55</v>
      </c>
      <c r="J7" s="70">
        <f t="shared" si="4"/>
        <v>1892.55</v>
      </c>
      <c r="K7" s="76">
        <v>0</v>
      </c>
      <c r="L7" s="70">
        <v>650</v>
      </c>
      <c r="M7" s="73">
        <f t="shared" si="6"/>
        <v>2542.55</v>
      </c>
      <c r="N7" s="83">
        <f t="shared" si="7"/>
        <v>6059.95</v>
      </c>
      <c r="O7" s="75">
        <f t="shared" si="8"/>
        <v>-0.39400500000000005</v>
      </c>
    </row>
    <row r="8" spans="1:15" ht="18">
      <c r="A8" s="69">
        <v>11000</v>
      </c>
      <c r="B8" s="70">
        <f t="shared" si="0"/>
        <v>1870</v>
      </c>
      <c r="C8" s="70">
        <f>A8*1!$H$3</f>
        <v>764.5000000000001</v>
      </c>
      <c r="D8" s="70">
        <f>A8*1!$J$3</f>
        <v>440</v>
      </c>
      <c r="E8" s="91">
        <f t="shared" si="1"/>
        <v>3074.5</v>
      </c>
      <c r="F8" s="71">
        <f t="shared" si="2"/>
        <v>1537.25</v>
      </c>
      <c r="G8" s="91">
        <f t="shared" si="3"/>
        <v>1537.25</v>
      </c>
      <c r="H8" s="72">
        <f t="shared" si="5"/>
        <v>9462.75</v>
      </c>
      <c r="I8" s="90">
        <f>H8*1!$B$6</f>
        <v>2081.805</v>
      </c>
      <c r="J8" s="70">
        <f t="shared" si="4"/>
        <v>2081.805</v>
      </c>
      <c r="K8" s="76">
        <v>0</v>
      </c>
      <c r="L8" s="70">
        <v>650</v>
      </c>
      <c r="M8" s="73">
        <f t="shared" si="6"/>
        <v>2731.805</v>
      </c>
      <c r="N8" s="83">
        <f t="shared" si="7"/>
        <v>6730.945</v>
      </c>
      <c r="O8" s="75">
        <f t="shared" si="8"/>
        <v>-0.3880959090909091</v>
      </c>
    </row>
    <row r="9" spans="1:15" ht="18">
      <c r="A9" s="69">
        <v>12000</v>
      </c>
      <c r="B9" s="70">
        <f t="shared" si="0"/>
        <v>2040</v>
      </c>
      <c r="C9" s="70">
        <f>A9*1!$H$3</f>
        <v>834.0000000000001</v>
      </c>
      <c r="D9" s="70">
        <f>A9*1!$J$3</f>
        <v>480</v>
      </c>
      <c r="E9" s="91">
        <f t="shared" si="1"/>
        <v>3354</v>
      </c>
      <c r="F9" s="71">
        <f t="shared" si="2"/>
        <v>1677</v>
      </c>
      <c r="G9" s="91">
        <f t="shared" si="3"/>
        <v>1677</v>
      </c>
      <c r="H9" s="72">
        <f t="shared" si="5"/>
        <v>10323</v>
      </c>
      <c r="I9" s="90">
        <f>H9*1!$B$6</f>
        <v>2271.06</v>
      </c>
      <c r="J9" s="70">
        <f t="shared" si="4"/>
        <v>2271.06</v>
      </c>
      <c r="K9" s="76">
        <v>0</v>
      </c>
      <c r="L9" s="70">
        <v>650</v>
      </c>
      <c r="M9" s="73">
        <f t="shared" si="6"/>
        <v>2921.06</v>
      </c>
      <c r="N9" s="83">
        <f t="shared" si="7"/>
        <v>7401.9400000000005</v>
      </c>
      <c r="O9" s="75">
        <f t="shared" si="8"/>
        <v>-0.3831716666666666</v>
      </c>
    </row>
    <row r="10" spans="1:15" ht="18">
      <c r="A10" s="80">
        <v>13000</v>
      </c>
      <c r="B10" s="70">
        <f t="shared" si="0"/>
        <v>2210</v>
      </c>
      <c r="C10" s="70">
        <f>A10*1!$H$3</f>
        <v>903.5000000000001</v>
      </c>
      <c r="D10" s="70">
        <f>A10*1!$J$3</f>
        <v>520</v>
      </c>
      <c r="E10" s="91">
        <f t="shared" si="1"/>
        <v>3633.5</v>
      </c>
      <c r="F10" s="71">
        <f t="shared" si="2"/>
        <v>1816.75</v>
      </c>
      <c r="G10" s="91">
        <f t="shared" si="3"/>
        <v>1816.75</v>
      </c>
      <c r="H10" s="72">
        <f t="shared" si="5"/>
        <v>11183.25</v>
      </c>
      <c r="I10" s="90">
        <f>H10*1!$B$6</f>
        <v>2460.315</v>
      </c>
      <c r="J10" s="76">
        <f t="shared" si="4"/>
        <v>2460.315</v>
      </c>
      <c r="K10" s="76">
        <v>0</v>
      </c>
      <c r="L10" s="70">
        <v>650</v>
      </c>
      <c r="M10" s="73">
        <f t="shared" si="6"/>
        <v>3110.315</v>
      </c>
      <c r="N10" s="83">
        <f t="shared" si="7"/>
        <v>8072.9349999999995</v>
      </c>
      <c r="O10" s="75">
        <f t="shared" si="8"/>
        <v>-0.37900500000000004</v>
      </c>
    </row>
    <row r="11" spans="1:15" ht="18">
      <c r="A11" s="69">
        <v>14000</v>
      </c>
      <c r="B11" s="70">
        <f t="shared" si="0"/>
        <v>2380</v>
      </c>
      <c r="C11" s="70">
        <f>A11*1!$H$3</f>
        <v>973.0000000000001</v>
      </c>
      <c r="D11" s="70">
        <f>A11*1!$J$3</f>
        <v>560</v>
      </c>
      <c r="E11" s="91">
        <f t="shared" si="1"/>
        <v>3913</v>
      </c>
      <c r="F11" s="71">
        <f>E11*49%</f>
        <v>1917.37</v>
      </c>
      <c r="G11" s="91">
        <f t="shared" si="3"/>
        <v>1995.63</v>
      </c>
      <c r="H11" s="72">
        <f t="shared" si="5"/>
        <v>12004.369999999999</v>
      </c>
      <c r="I11" s="90">
        <f>H11*1!$B$6</f>
        <v>2640.9613999999997</v>
      </c>
      <c r="J11" s="70">
        <f t="shared" si="4"/>
        <v>2640.9613999999997</v>
      </c>
      <c r="K11" s="76">
        <f>(H11-12000)*2.2/100</f>
        <v>0.09613999999997759</v>
      </c>
      <c r="L11" s="70">
        <v>650</v>
      </c>
      <c r="M11" s="73">
        <f t="shared" si="6"/>
        <v>3291.05754</v>
      </c>
      <c r="N11" s="83">
        <f t="shared" si="7"/>
        <v>8713.31246</v>
      </c>
      <c r="O11" s="75">
        <f t="shared" si="8"/>
        <v>-0.37762053857142863</v>
      </c>
    </row>
    <row r="12" spans="1:15" ht="18">
      <c r="A12" s="69">
        <v>15000</v>
      </c>
      <c r="B12" s="70">
        <f t="shared" si="0"/>
        <v>2550</v>
      </c>
      <c r="C12" s="70">
        <f>A12*1!$H$3</f>
        <v>1042.5</v>
      </c>
      <c r="D12" s="70">
        <f>A12*1!$J$3</f>
        <v>600</v>
      </c>
      <c r="E12" s="91">
        <f t="shared" si="1"/>
        <v>4192.5</v>
      </c>
      <c r="F12" s="71">
        <f>E12*48%</f>
        <v>2012.3999999999999</v>
      </c>
      <c r="G12" s="91">
        <f t="shared" si="3"/>
        <v>2180.1000000000004</v>
      </c>
      <c r="H12" s="72">
        <f t="shared" si="5"/>
        <v>12819.9</v>
      </c>
      <c r="I12" s="90">
        <f>H12*1!$B$6</f>
        <v>2820.378</v>
      </c>
      <c r="J12" s="70">
        <f t="shared" si="4"/>
        <v>2820.378</v>
      </c>
      <c r="K12" s="76">
        <f aca="true" t="shared" si="9" ref="K12:K21">(H12-12000)*2.2/100</f>
        <v>18.037799999999994</v>
      </c>
      <c r="L12" s="70">
        <v>650</v>
      </c>
      <c r="M12" s="73">
        <f t="shared" si="6"/>
        <v>3488.4158</v>
      </c>
      <c r="N12" s="83">
        <f t="shared" si="7"/>
        <v>9331.484199999999</v>
      </c>
      <c r="O12" s="75">
        <f t="shared" si="8"/>
        <v>-0.37790105333333335</v>
      </c>
    </row>
    <row r="13" spans="1:15" ht="18">
      <c r="A13" s="69">
        <v>16000</v>
      </c>
      <c r="B13" s="70">
        <f t="shared" si="0"/>
        <v>2720</v>
      </c>
      <c r="C13" s="70">
        <f>A13*1!$H$3</f>
        <v>1112</v>
      </c>
      <c r="D13" s="70">
        <f>A13*1!$J$3</f>
        <v>640</v>
      </c>
      <c r="E13" s="91">
        <f t="shared" si="1"/>
        <v>4472</v>
      </c>
      <c r="F13" s="71">
        <f>E13*47/100</f>
        <v>2101.84</v>
      </c>
      <c r="G13" s="91">
        <f t="shared" si="3"/>
        <v>2370.16</v>
      </c>
      <c r="H13" s="72">
        <f t="shared" si="5"/>
        <v>13629.84</v>
      </c>
      <c r="I13" s="90">
        <f>H13*1!$B$6</f>
        <v>2998.5648</v>
      </c>
      <c r="J13" s="70">
        <f t="shared" si="4"/>
        <v>2998.5648</v>
      </c>
      <c r="K13" s="76">
        <f t="shared" si="9"/>
        <v>35.856480000000005</v>
      </c>
      <c r="L13" s="70">
        <v>650</v>
      </c>
      <c r="M13" s="73">
        <f t="shared" si="6"/>
        <v>3684.42128</v>
      </c>
      <c r="N13" s="83">
        <f t="shared" si="7"/>
        <v>9945.41872</v>
      </c>
      <c r="O13" s="75">
        <f t="shared" si="8"/>
        <v>-0.37841133000000005</v>
      </c>
    </row>
    <row r="14" spans="1:15" ht="18">
      <c r="A14" s="69">
        <v>17000</v>
      </c>
      <c r="B14" s="70">
        <f t="shared" si="0"/>
        <v>2890</v>
      </c>
      <c r="C14" s="70">
        <f>A14*1!$H$3</f>
        <v>1181.5</v>
      </c>
      <c r="D14" s="70">
        <f>A14*1!$J$3</f>
        <v>680</v>
      </c>
      <c r="E14" s="91">
        <f t="shared" si="1"/>
        <v>4751.5</v>
      </c>
      <c r="F14" s="71">
        <f>E14*46/100</f>
        <v>2185.69</v>
      </c>
      <c r="G14" s="91">
        <f t="shared" si="3"/>
        <v>2565.81</v>
      </c>
      <c r="H14" s="72">
        <f t="shared" si="5"/>
        <v>14434.19</v>
      </c>
      <c r="I14" s="90">
        <f>H14*1!$B$6</f>
        <v>3175.5218</v>
      </c>
      <c r="J14" s="70">
        <f t="shared" si="4"/>
        <v>3175.5218</v>
      </c>
      <c r="K14" s="76">
        <f t="shared" si="9"/>
        <v>53.552180000000014</v>
      </c>
      <c r="L14" s="70">
        <v>650</v>
      </c>
      <c r="M14" s="73">
        <f t="shared" si="6"/>
        <v>3879.07398</v>
      </c>
      <c r="N14" s="83">
        <f t="shared" si="7"/>
        <v>10555.116020000001</v>
      </c>
      <c r="O14" s="75">
        <f t="shared" si="8"/>
        <v>-0.37911082235294113</v>
      </c>
    </row>
    <row r="15" spans="1:15" ht="18">
      <c r="A15" s="69">
        <v>18000</v>
      </c>
      <c r="B15" s="70">
        <f t="shared" si="0"/>
        <v>3060</v>
      </c>
      <c r="C15" s="70">
        <f>A15*1!$H$3</f>
        <v>1251</v>
      </c>
      <c r="D15" s="70">
        <f>A15*1!$J$3</f>
        <v>720</v>
      </c>
      <c r="E15" s="91">
        <f t="shared" si="1"/>
        <v>5031</v>
      </c>
      <c r="F15" s="71">
        <f>E15*45/100</f>
        <v>2263.95</v>
      </c>
      <c r="G15" s="91">
        <f t="shared" si="3"/>
        <v>2767.05</v>
      </c>
      <c r="H15" s="72">
        <f t="shared" si="5"/>
        <v>15232.95</v>
      </c>
      <c r="I15" s="90">
        <f>H15*1!$B$6</f>
        <v>3351.2490000000003</v>
      </c>
      <c r="J15" s="70">
        <f t="shared" si="4"/>
        <v>3351.2490000000003</v>
      </c>
      <c r="K15" s="76">
        <f t="shared" si="9"/>
        <v>71.12490000000003</v>
      </c>
      <c r="L15" s="70">
        <v>650</v>
      </c>
      <c r="M15" s="73">
        <f t="shared" si="6"/>
        <v>4072.3739000000005</v>
      </c>
      <c r="N15" s="83">
        <f t="shared" si="7"/>
        <v>11160.5761</v>
      </c>
      <c r="O15" s="75">
        <f t="shared" si="8"/>
        <v>-0.3799679944444444</v>
      </c>
    </row>
    <row r="16" spans="1:15" ht="18">
      <c r="A16" s="69">
        <v>19000</v>
      </c>
      <c r="B16" s="70">
        <f t="shared" si="0"/>
        <v>3230</v>
      </c>
      <c r="C16" s="70">
        <f>A16*1!$H$3</f>
        <v>1320.5000000000002</v>
      </c>
      <c r="D16" s="70">
        <f>A16*1!$J$3</f>
        <v>760</v>
      </c>
      <c r="E16" s="91">
        <f t="shared" si="1"/>
        <v>5310.5</v>
      </c>
      <c r="F16" s="71">
        <f>E16*44/100</f>
        <v>2336.62</v>
      </c>
      <c r="G16" s="91">
        <f t="shared" si="3"/>
        <v>2973.88</v>
      </c>
      <c r="H16" s="72">
        <f t="shared" si="5"/>
        <v>16026.119999999999</v>
      </c>
      <c r="I16" s="90">
        <f>H16*1!$B$6</f>
        <v>3525.7464</v>
      </c>
      <c r="J16" s="70">
        <f t="shared" si="4"/>
        <v>3525.7464</v>
      </c>
      <c r="K16" s="76">
        <f t="shared" si="9"/>
        <v>88.57463999999999</v>
      </c>
      <c r="L16" s="70">
        <v>650</v>
      </c>
      <c r="M16" s="73">
        <f t="shared" si="6"/>
        <v>4264.32104</v>
      </c>
      <c r="N16" s="83">
        <f t="shared" si="7"/>
        <v>11761.79896</v>
      </c>
      <c r="O16" s="75">
        <f t="shared" si="8"/>
        <v>-0.3809579494736842</v>
      </c>
    </row>
    <row r="17" spans="1:15" ht="18">
      <c r="A17" s="69">
        <v>20000</v>
      </c>
      <c r="B17" s="70">
        <f t="shared" si="0"/>
        <v>3400</v>
      </c>
      <c r="C17" s="70">
        <f>A17*1!$H$3</f>
        <v>1390.0000000000002</v>
      </c>
      <c r="D17" s="70">
        <f>A17*1!$J$3</f>
        <v>800</v>
      </c>
      <c r="E17" s="91">
        <f t="shared" si="1"/>
        <v>5590</v>
      </c>
      <c r="F17" s="71">
        <f>E17*43/100</f>
        <v>2403.7</v>
      </c>
      <c r="G17" s="91">
        <f t="shared" si="3"/>
        <v>3186.3</v>
      </c>
      <c r="H17" s="72">
        <f t="shared" si="5"/>
        <v>16813.7</v>
      </c>
      <c r="I17" s="90">
        <f>H17*1!$B$6</f>
        <v>3699.014</v>
      </c>
      <c r="J17" s="70">
        <f t="shared" si="4"/>
        <v>3699.014</v>
      </c>
      <c r="K17" s="76">
        <f t="shared" si="9"/>
        <v>105.90140000000002</v>
      </c>
      <c r="L17" s="70">
        <v>650</v>
      </c>
      <c r="M17" s="73">
        <f t="shared" si="6"/>
        <v>4454.9154</v>
      </c>
      <c r="N17" s="83">
        <f t="shared" si="7"/>
        <v>12358.7846</v>
      </c>
      <c r="O17" s="75">
        <f t="shared" si="8"/>
        <v>-0.38206076999999994</v>
      </c>
    </row>
    <row r="18" spans="1:15" ht="18">
      <c r="A18" s="69">
        <v>21000</v>
      </c>
      <c r="B18" s="70">
        <f t="shared" si="0"/>
        <v>3570</v>
      </c>
      <c r="C18" s="70">
        <f>A18*1!$H$3</f>
        <v>1459.5000000000002</v>
      </c>
      <c r="D18" s="70">
        <f>A18*1!$J$3</f>
        <v>840</v>
      </c>
      <c r="E18" s="91">
        <f t="shared" si="1"/>
        <v>5869.5</v>
      </c>
      <c r="F18" s="71">
        <f>E18*42/100</f>
        <v>2465.19</v>
      </c>
      <c r="G18" s="91">
        <f t="shared" si="3"/>
        <v>3404.31</v>
      </c>
      <c r="H18" s="72">
        <f t="shared" si="5"/>
        <v>17595.69</v>
      </c>
      <c r="I18" s="90">
        <f>H18*1!$B$6</f>
        <v>3871.0517999999997</v>
      </c>
      <c r="J18" s="70">
        <f t="shared" si="4"/>
        <v>3871.0517999999997</v>
      </c>
      <c r="K18" s="76">
        <f t="shared" si="9"/>
        <v>123.10517999999998</v>
      </c>
      <c r="L18" s="70">
        <v>650</v>
      </c>
      <c r="M18" s="73">
        <f t="shared" si="6"/>
        <v>4644.15698</v>
      </c>
      <c r="N18" s="83">
        <f t="shared" si="7"/>
        <v>12951.533019999999</v>
      </c>
      <c r="O18" s="75">
        <f t="shared" si="8"/>
        <v>-0.3832603323809525</v>
      </c>
    </row>
    <row r="19" spans="1:15" ht="18">
      <c r="A19" s="69">
        <v>22000</v>
      </c>
      <c r="B19" s="70">
        <f t="shared" si="0"/>
        <v>3740</v>
      </c>
      <c r="C19" s="70">
        <f>A19*1!$H$3</f>
        <v>1529.0000000000002</v>
      </c>
      <c r="D19" s="70">
        <f>A19*1!$J$3</f>
        <v>880</v>
      </c>
      <c r="E19" s="91">
        <f t="shared" si="1"/>
        <v>6149</v>
      </c>
      <c r="F19" s="71">
        <f>E19*41/100</f>
        <v>2521.09</v>
      </c>
      <c r="G19" s="91">
        <f t="shared" si="3"/>
        <v>3627.91</v>
      </c>
      <c r="H19" s="72">
        <f t="shared" si="5"/>
        <v>18372.09</v>
      </c>
      <c r="I19" s="96">
        <f>H19*1!$B$6</f>
        <v>4041.8598</v>
      </c>
      <c r="J19" s="76">
        <f t="shared" si="4"/>
        <v>4041.8598</v>
      </c>
      <c r="K19" s="76">
        <f t="shared" si="9"/>
        <v>140.18598000000003</v>
      </c>
      <c r="L19" s="70">
        <v>650</v>
      </c>
      <c r="M19" s="73">
        <f t="shared" si="6"/>
        <v>4832.04578</v>
      </c>
      <c r="N19" s="83">
        <f t="shared" si="7"/>
        <v>13540.04422</v>
      </c>
      <c r="O19" s="75">
        <f t="shared" si="8"/>
        <v>-0.3845434445454545</v>
      </c>
    </row>
    <row r="20" spans="1:15" ht="18">
      <c r="A20" s="69">
        <v>23000</v>
      </c>
      <c r="B20" s="70">
        <f t="shared" si="0"/>
        <v>3910</v>
      </c>
      <c r="C20" s="70">
        <f>A20*1!$H$3</f>
        <v>1598.5000000000002</v>
      </c>
      <c r="D20" s="70">
        <f>A20*1!$J$3</f>
        <v>920</v>
      </c>
      <c r="E20" s="91">
        <f t="shared" si="1"/>
        <v>6428.5</v>
      </c>
      <c r="F20" s="71">
        <f>E20*40/100</f>
        <v>2571.4</v>
      </c>
      <c r="G20" s="91">
        <f t="shared" si="3"/>
        <v>3857.1</v>
      </c>
      <c r="H20" s="72">
        <f t="shared" si="5"/>
        <v>19142.9</v>
      </c>
      <c r="I20" s="96">
        <f>H20*1!$B$6</f>
        <v>4211.438</v>
      </c>
      <c r="J20" s="76">
        <f t="shared" si="4"/>
        <v>4211.438</v>
      </c>
      <c r="K20" s="76">
        <f t="shared" si="9"/>
        <v>157.14380000000006</v>
      </c>
      <c r="L20" s="70">
        <v>650</v>
      </c>
      <c r="M20" s="73">
        <f t="shared" si="6"/>
        <v>5018.5818</v>
      </c>
      <c r="N20" s="83">
        <f t="shared" si="7"/>
        <v>14124.318200000002</v>
      </c>
      <c r="O20" s="75">
        <f t="shared" si="8"/>
        <v>-0.3858992086956521</v>
      </c>
    </row>
    <row r="21" spans="1:15" ht="18">
      <c r="A21" s="69">
        <v>24000</v>
      </c>
      <c r="B21" s="70">
        <f t="shared" si="0"/>
        <v>4080</v>
      </c>
      <c r="C21" s="70">
        <f>A21*1!$H$3</f>
        <v>1668.0000000000002</v>
      </c>
      <c r="D21" s="70">
        <f>A21*1!$J$3</f>
        <v>960</v>
      </c>
      <c r="E21" s="91">
        <f t="shared" si="1"/>
        <v>6708</v>
      </c>
      <c r="F21" s="71">
        <f>E21*39/100</f>
        <v>2616.12</v>
      </c>
      <c r="G21" s="91">
        <f t="shared" si="3"/>
        <v>4091.88</v>
      </c>
      <c r="H21" s="72">
        <f t="shared" si="5"/>
        <v>19908.12</v>
      </c>
      <c r="I21" s="96">
        <f>H21*1!$B$6</f>
        <v>4379.7864</v>
      </c>
      <c r="J21" s="76">
        <f t="shared" si="4"/>
        <v>4379.7864</v>
      </c>
      <c r="K21" s="76">
        <f t="shared" si="9"/>
        <v>173.97863999999998</v>
      </c>
      <c r="L21" s="70">
        <v>650</v>
      </c>
      <c r="M21" s="73">
        <f t="shared" si="6"/>
        <v>5203.76504</v>
      </c>
      <c r="N21" s="83">
        <f t="shared" si="7"/>
        <v>14704.354959999999</v>
      </c>
      <c r="O21" s="75">
        <f t="shared" si="8"/>
        <v>-0.3873185433333334</v>
      </c>
    </row>
    <row r="22" spans="1:15" ht="18">
      <c r="A22" s="69">
        <v>25000</v>
      </c>
      <c r="B22" s="70">
        <f t="shared" si="0"/>
        <v>4250</v>
      </c>
      <c r="C22" s="70">
        <f>A22*1!$H$3</f>
        <v>1737.5000000000002</v>
      </c>
      <c r="D22" s="70">
        <f>A22*1!$J$3</f>
        <v>1000</v>
      </c>
      <c r="E22" s="91">
        <f t="shared" si="1"/>
        <v>6987.5</v>
      </c>
      <c r="F22" s="71">
        <f>E22*38/100</f>
        <v>2655.25</v>
      </c>
      <c r="G22" s="91">
        <f t="shared" si="3"/>
        <v>4332.25</v>
      </c>
      <c r="H22" s="72">
        <f t="shared" si="5"/>
        <v>20667.75</v>
      </c>
      <c r="I22" s="76">
        <f>1!$E$6+(H22-20000)*1!$B$7</f>
        <v>4593.6475</v>
      </c>
      <c r="J22" s="76">
        <f t="shared" si="4"/>
        <v>4593.6475</v>
      </c>
      <c r="K22" s="76">
        <f>1!$K$10+(H22-12000-8000)*5/100</f>
        <v>209.3875</v>
      </c>
      <c r="L22" s="70">
        <v>650</v>
      </c>
      <c r="M22" s="73">
        <f t="shared" si="6"/>
        <v>5453.035</v>
      </c>
      <c r="N22" s="83">
        <f t="shared" si="7"/>
        <v>15214.715</v>
      </c>
      <c r="O22" s="75">
        <f t="shared" si="8"/>
        <v>-0.39141139999999996</v>
      </c>
    </row>
    <row r="23" spans="1:15" ht="18">
      <c r="A23" s="69">
        <v>26000</v>
      </c>
      <c r="B23" s="70">
        <f t="shared" si="0"/>
        <v>4420</v>
      </c>
      <c r="C23" s="70">
        <f>A23*1!$H$3</f>
        <v>1807.0000000000002</v>
      </c>
      <c r="D23" s="70">
        <f>A23*1!$J$3</f>
        <v>1040</v>
      </c>
      <c r="E23" s="91">
        <f t="shared" si="1"/>
        <v>7267</v>
      </c>
      <c r="F23" s="71">
        <f>E23*37/100</f>
        <v>2688.79</v>
      </c>
      <c r="G23" s="91">
        <f t="shared" si="3"/>
        <v>4578.21</v>
      </c>
      <c r="H23" s="72">
        <f t="shared" si="5"/>
        <v>21421.79</v>
      </c>
      <c r="I23" s="76">
        <f>1!$E$6+(H23-20000)*1!$B$7</f>
        <v>4812.319100000001</v>
      </c>
      <c r="J23" s="76">
        <f t="shared" si="4"/>
        <v>4812.319100000001</v>
      </c>
      <c r="K23" s="76">
        <f>1!$K$10+(H23-12000-8000)*5/100</f>
        <v>247.08950000000004</v>
      </c>
      <c r="L23" s="70">
        <v>650</v>
      </c>
      <c r="M23" s="73">
        <f t="shared" si="6"/>
        <v>5709.408600000001</v>
      </c>
      <c r="N23" s="83">
        <f t="shared" si="7"/>
        <v>15712.3814</v>
      </c>
      <c r="O23" s="75">
        <f t="shared" si="8"/>
        <v>-0.3956776384615385</v>
      </c>
    </row>
    <row r="24" spans="1:15" ht="18">
      <c r="A24" s="69">
        <v>27000</v>
      </c>
      <c r="B24" s="70">
        <f t="shared" si="0"/>
        <v>4590</v>
      </c>
      <c r="C24" s="70">
        <f>A24*1!$H$3</f>
        <v>1876.5000000000002</v>
      </c>
      <c r="D24" s="70">
        <f>A24*1!$J$3</f>
        <v>1080</v>
      </c>
      <c r="E24" s="91">
        <f t="shared" si="1"/>
        <v>7546.5</v>
      </c>
      <c r="F24" s="71">
        <f>E24*36/100</f>
        <v>2716.74</v>
      </c>
      <c r="G24" s="91">
        <f t="shared" si="3"/>
        <v>4829.76</v>
      </c>
      <c r="H24" s="72">
        <f t="shared" si="5"/>
        <v>22170.239999999998</v>
      </c>
      <c r="I24" s="76">
        <f>1!$E$6+(H24-20000)*1!$B$7</f>
        <v>5029.369599999999</v>
      </c>
      <c r="J24" s="76">
        <f t="shared" si="4"/>
        <v>5029.369599999999</v>
      </c>
      <c r="K24" s="76">
        <f>1!$K$10+(H24-12000-8000)*5/100</f>
        <v>284.5119999999999</v>
      </c>
      <c r="L24" s="70">
        <v>650</v>
      </c>
      <c r="M24" s="73">
        <f t="shared" si="6"/>
        <v>5963.881599999999</v>
      </c>
      <c r="N24" s="83">
        <f t="shared" si="7"/>
        <v>16206.3584</v>
      </c>
      <c r="O24" s="75">
        <f t="shared" si="8"/>
        <v>-0.39976450370370376</v>
      </c>
    </row>
    <row r="25" spans="1:15" ht="18">
      <c r="A25" s="69">
        <v>28000</v>
      </c>
      <c r="B25" s="70">
        <f t="shared" si="0"/>
        <v>4760</v>
      </c>
      <c r="C25" s="70">
        <f>A25*1!$H$3</f>
        <v>1946.0000000000002</v>
      </c>
      <c r="D25" s="70">
        <f>A25*1!$J$3</f>
        <v>1120</v>
      </c>
      <c r="E25" s="91">
        <f t="shared" si="1"/>
        <v>7826</v>
      </c>
      <c r="F25" s="71">
        <f>E25*35/100</f>
        <v>2739.1</v>
      </c>
      <c r="G25" s="91">
        <f t="shared" si="3"/>
        <v>5086.9</v>
      </c>
      <c r="H25" s="72">
        <f t="shared" si="5"/>
        <v>22913.1</v>
      </c>
      <c r="I25" s="76">
        <f>1!$E$6+(H25-20000)*1!$B$7</f>
        <v>5244.798999999999</v>
      </c>
      <c r="J25" s="76">
        <f t="shared" si="4"/>
        <v>5244.798999999999</v>
      </c>
      <c r="K25" s="76">
        <f>1!$K$10+(H25-12000-8000)*5/100</f>
        <v>321.6549999999999</v>
      </c>
      <c r="L25" s="70">
        <v>650</v>
      </c>
      <c r="M25" s="73">
        <f t="shared" si="6"/>
        <v>6216.453999999999</v>
      </c>
      <c r="N25" s="83">
        <f t="shared" si="7"/>
        <v>16696.646</v>
      </c>
      <c r="O25" s="75">
        <f t="shared" si="8"/>
        <v>-0.4036912142857143</v>
      </c>
    </row>
    <row r="26" spans="1:15" ht="18">
      <c r="A26" s="69">
        <v>29000</v>
      </c>
      <c r="B26" s="70">
        <f t="shared" si="0"/>
        <v>4930</v>
      </c>
      <c r="C26" s="70">
        <f>A26*1!$H$3</f>
        <v>2015.5000000000002</v>
      </c>
      <c r="D26" s="70">
        <f>A26*1!$J$3</f>
        <v>1160</v>
      </c>
      <c r="E26" s="91">
        <f t="shared" si="1"/>
        <v>8105.5</v>
      </c>
      <c r="F26" s="71">
        <f>E26*34/100</f>
        <v>2755.87</v>
      </c>
      <c r="G26" s="91">
        <f t="shared" si="3"/>
        <v>5349.63</v>
      </c>
      <c r="H26" s="72">
        <f t="shared" si="5"/>
        <v>23650.37</v>
      </c>
      <c r="I26" s="76">
        <f>1!$E$6+(H26-20000)*1!$B$7</f>
        <v>5458.6073</v>
      </c>
      <c r="J26" s="76">
        <f t="shared" si="4"/>
        <v>5458.6073</v>
      </c>
      <c r="K26" s="76">
        <f>1!$K$10+(H26-12000-8000)*5/100</f>
        <v>358.51849999999996</v>
      </c>
      <c r="L26" s="70">
        <v>650</v>
      </c>
      <c r="M26" s="73">
        <f t="shared" si="6"/>
        <v>6467.1258</v>
      </c>
      <c r="N26" s="83">
        <f t="shared" si="7"/>
        <v>17183.2442</v>
      </c>
      <c r="O26" s="75">
        <f t="shared" si="8"/>
        <v>-0.4074743379310345</v>
      </c>
    </row>
    <row r="27" spans="1:15" ht="18">
      <c r="A27" s="69">
        <v>30000</v>
      </c>
      <c r="B27" s="70">
        <f t="shared" si="0"/>
        <v>5100</v>
      </c>
      <c r="C27" s="70">
        <f>A27*1!$H$3</f>
        <v>2085</v>
      </c>
      <c r="D27" s="70">
        <f>A27*1!$J$3</f>
        <v>1200</v>
      </c>
      <c r="E27" s="91">
        <f t="shared" si="1"/>
        <v>8385</v>
      </c>
      <c r="F27" s="71">
        <f>E27*33/100</f>
        <v>2767.05</v>
      </c>
      <c r="G27" s="91">
        <f t="shared" si="3"/>
        <v>5617.95</v>
      </c>
      <c r="H27" s="72">
        <f t="shared" si="5"/>
        <v>24382.05</v>
      </c>
      <c r="I27" s="76">
        <f>1!$E$6+(H27-20000)*1!$B$7</f>
        <v>5670.7945</v>
      </c>
      <c r="J27" s="76">
        <f t="shared" si="4"/>
        <v>5670.7945</v>
      </c>
      <c r="K27" s="76">
        <f>1!$K$10+(H27-12000-8000)*5/100</f>
        <v>395.10249999999996</v>
      </c>
      <c r="L27" s="70">
        <v>650</v>
      </c>
      <c r="M27" s="73">
        <f t="shared" si="6"/>
        <v>6715.897</v>
      </c>
      <c r="N27" s="83">
        <f t="shared" si="7"/>
        <v>17666.153</v>
      </c>
      <c r="O27" s="75">
        <f t="shared" si="8"/>
        <v>-0.41112823333333337</v>
      </c>
    </row>
    <row r="28" spans="1:15" ht="18">
      <c r="A28" s="69">
        <v>31000</v>
      </c>
      <c r="B28" s="70">
        <f t="shared" si="0"/>
        <v>5270</v>
      </c>
      <c r="C28" s="70">
        <f>A28*1!$H$3</f>
        <v>2154.5</v>
      </c>
      <c r="D28" s="70">
        <f>A28*1!$J$3</f>
        <v>1240</v>
      </c>
      <c r="E28" s="91">
        <f t="shared" si="1"/>
        <v>8664.5</v>
      </c>
      <c r="F28" s="71">
        <f>E28*32/100</f>
        <v>2772.64</v>
      </c>
      <c r="G28" s="91">
        <f t="shared" si="3"/>
        <v>5891.860000000001</v>
      </c>
      <c r="H28" s="72">
        <f t="shared" si="5"/>
        <v>25108.14</v>
      </c>
      <c r="I28" s="76">
        <f>1!$E$6+(H28-20000)*1!$B$7</f>
        <v>5881.3606</v>
      </c>
      <c r="J28" s="76">
        <f t="shared" si="4"/>
        <v>5881.3606</v>
      </c>
      <c r="K28" s="76">
        <f>1!$K$10+(H28-12000-8000)*5/100</f>
        <v>431.407</v>
      </c>
      <c r="L28" s="70">
        <v>650</v>
      </c>
      <c r="M28" s="73">
        <f t="shared" si="6"/>
        <v>6962.7676</v>
      </c>
      <c r="N28" s="83">
        <f t="shared" si="7"/>
        <v>18145.3724</v>
      </c>
      <c r="O28" s="75">
        <f t="shared" si="8"/>
        <v>-0.4146654064516129</v>
      </c>
    </row>
    <row r="29" spans="1:15" ht="18">
      <c r="A29" s="69">
        <v>32000</v>
      </c>
      <c r="B29" s="70">
        <f t="shared" si="0"/>
        <v>5440</v>
      </c>
      <c r="C29" s="70">
        <f>A29*1!$H$3</f>
        <v>2224</v>
      </c>
      <c r="D29" s="70">
        <f>A29*1!$J$3</f>
        <v>1280</v>
      </c>
      <c r="E29" s="91">
        <f t="shared" si="1"/>
        <v>8944</v>
      </c>
      <c r="F29" s="71">
        <f>E29*31/100</f>
        <v>2772.64</v>
      </c>
      <c r="G29" s="91">
        <f t="shared" si="3"/>
        <v>6171.360000000001</v>
      </c>
      <c r="H29" s="72">
        <f t="shared" si="5"/>
        <v>25828.64</v>
      </c>
      <c r="I29" s="76">
        <f>1!$E$6+(H29-20000)*1!$B$7</f>
        <v>6090.3056</v>
      </c>
      <c r="J29" s="76">
        <f t="shared" si="4"/>
        <v>6090.3056</v>
      </c>
      <c r="K29" s="76">
        <f>1!$K$10+(H29-12000-8000)*5/100</f>
        <v>467.43199999999996</v>
      </c>
      <c r="L29" s="70">
        <v>650</v>
      </c>
      <c r="M29" s="73">
        <f t="shared" si="6"/>
        <v>7207.7375999999995</v>
      </c>
      <c r="N29" s="83">
        <f t="shared" si="7"/>
        <v>18620.9024</v>
      </c>
      <c r="O29" s="75">
        <f t="shared" si="8"/>
        <v>-0.41809680000000005</v>
      </c>
    </row>
    <row r="30" spans="1:15" ht="18">
      <c r="A30" s="69">
        <v>33000</v>
      </c>
      <c r="B30" s="70">
        <f t="shared" si="0"/>
        <v>5610</v>
      </c>
      <c r="C30" s="70">
        <f>A30*1!$H$3</f>
        <v>2293.5</v>
      </c>
      <c r="D30" s="70">
        <f>A30*1!$J$3</f>
        <v>1320</v>
      </c>
      <c r="E30" s="91">
        <f t="shared" si="1"/>
        <v>9223.5</v>
      </c>
      <c r="F30" s="71">
        <f>E30*30/100</f>
        <v>2767.05</v>
      </c>
      <c r="G30" s="91">
        <f t="shared" si="3"/>
        <v>6456.45</v>
      </c>
      <c r="H30" s="72">
        <f t="shared" si="5"/>
        <v>26543.55</v>
      </c>
      <c r="I30" s="76">
        <f>1!$E$6+(H30-20000)*1!$B$7</f>
        <v>6297.629499999999</v>
      </c>
      <c r="J30" s="76">
        <f t="shared" si="4"/>
        <v>6297.629499999999</v>
      </c>
      <c r="K30" s="76">
        <f>1!$K$10+(H30-12000-8000)*5/100</f>
        <v>503.17749999999995</v>
      </c>
      <c r="L30" s="70">
        <v>650</v>
      </c>
      <c r="M30" s="73">
        <f t="shared" si="6"/>
        <v>7450.806999999999</v>
      </c>
      <c r="N30" s="83">
        <f t="shared" si="7"/>
        <v>19092.743000000002</v>
      </c>
      <c r="O30" s="75">
        <f t="shared" si="8"/>
        <v>-0.4214320303030302</v>
      </c>
    </row>
    <row r="31" spans="1:15" ht="18">
      <c r="A31" s="69">
        <v>34000</v>
      </c>
      <c r="B31" s="70">
        <f t="shared" si="0"/>
        <v>5780</v>
      </c>
      <c r="C31" s="70">
        <f>A31*1!$H$3</f>
        <v>2363</v>
      </c>
      <c r="D31" s="70">
        <f>A31*1!$J$3</f>
        <v>1360</v>
      </c>
      <c r="E31" s="91">
        <f t="shared" si="1"/>
        <v>9503</v>
      </c>
      <c r="F31" s="71">
        <f>E31*29/100</f>
        <v>2755.87</v>
      </c>
      <c r="G31" s="91">
        <f t="shared" si="3"/>
        <v>6747.13</v>
      </c>
      <c r="H31" s="72">
        <f t="shared" si="5"/>
        <v>27252.87</v>
      </c>
      <c r="I31" s="76">
        <f>1!$E$6+(H31-20000)*1!$B$7</f>
        <v>6503.3323</v>
      </c>
      <c r="J31" s="76">
        <f t="shared" si="4"/>
        <v>6503.3323</v>
      </c>
      <c r="K31" s="76">
        <f>1!$K$10+(H31-12000-8000)*5/100</f>
        <v>538.6434999999999</v>
      </c>
      <c r="L31" s="70">
        <v>650</v>
      </c>
      <c r="M31" s="73">
        <f t="shared" si="6"/>
        <v>7691.9758</v>
      </c>
      <c r="N31" s="83">
        <f t="shared" si="7"/>
        <v>19560.8942</v>
      </c>
      <c r="O31" s="75">
        <f t="shared" si="8"/>
        <v>-0.42467958235294123</v>
      </c>
    </row>
    <row r="32" spans="1:15" ht="18">
      <c r="A32" s="69">
        <v>35000</v>
      </c>
      <c r="B32" s="70">
        <f t="shared" si="0"/>
        <v>5950</v>
      </c>
      <c r="C32" s="70">
        <f>A32*1!$H$3</f>
        <v>2432.5</v>
      </c>
      <c r="D32" s="70">
        <f>A32*1!$J$3</f>
        <v>1400</v>
      </c>
      <c r="E32" s="91">
        <f t="shared" si="1"/>
        <v>9782.5</v>
      </c>
      <c r="F32" s="71">
        <f>E32*28/100</f>
        <v>2739.1</v>
      </c>
      <c r="G32" s="91">
        <f t="shared" si="3"/>
        <v>7043.4</v>
      </c>
      <c r="H32" s="72">
        <f t="shared" si="5"/>
        <v>27956.6</v>
      </c>
      <c r="I32" s="76">
        <f>1!$E$6+(H32-20000)*1!$B$7</f>
        <v>6707.413999999999</v>
      </c>
      <c r="J32" s="76">
        <f t="shared" si="4"/>
        <v>6707.413999999999</v>
      </c>
      <c r="K32" s="76">
        <f>1!$K$10+(H32-12000-8000)*5/100</f>
        <v>573.8299999999999</v>
      </c>
      <c r="L32" s="70">
        <v>650</v>
      </c>
      <c r="M32" s="73">
        <f t="shared" si="6"/>
        <v>7931.243999999999</v>
      </c>
      <c r="N32" s="83">
        <f t="shared" si="7"/>
        <v>20025.356</v>
      </c>
      <c r="O32" s="75">
        <f t="shared" si="8"/>
        <v>-0.4278469714285714</v>
      </c>
    </row>
    <row r="33" spans="1:15" ht="18">
      <c r="A33" s="69">
        <v>36000</v>
      </c>
      <c r="B33" s="70">
        <f t="shared" si="0"/>
        <v>6120</v>
      </c>
      <c r="C33" s="70">
        <f>A33*1!$H$3</f>
        <v>2502</v>
      </c>
      <c r="D33" s="70">
        <f>A33*1!$J$3</f>
        <v>1440</v>
      </c>
      <c r="E33" s="91">
        <f t="shared" si="1"/>
        <v>10062</v>
      </c>
      <c r="F33" s="71">
        <f>E33*27/100</f>
        <v>2716.74</v>
      </c>
      <c r="G33" s="91">
        <f t="shared" si="3"/>
        <v>7345.26</v>
      </c>
      <c r="H33" s="72">
        <f t="shared" si="5"/>
        <v>28654.739999999998</v>
      </c>
      <c r="I33" s="76">
        <f>1!$E$6+(H33-20000)*1!$B$7</f>
        <v>6909.874599999999</v>
      </c>
      <c r="J33" s="76">
        <f t="shared" si="4"/>
        <v>6909.874599999999</v>
      </c>
      <c r="K33" s="76">
        <f>1!$K$10+(H33-12000-8000)*5/100</f>
        <v>608.7369999999999</v>
      </c>
      <c r="L33" s="70">
        <v>650</v>
      </c>
      <c r="M33" s="73">
        <f t="shared" si="6"/>
        <v>8168.611599999999</v>
      </c>
      <c r="N33" s="83">
        <f t="shared" si="7"/>
        <v>20486.128399999998</v>
      </c>
      <c r="O33" s="75">
        <f t="shared" si="8"/>
        <v>-0.4309408777777778</v>
      </c>
    </row>
    <row r="34" spans="1:15" ht="18">
      <c r="A34" s="69">
        <v>37000</v>
      </c>
      <c r="B34" s="70">
        <f t="shared" si="0"/>
        <v>6290</v>
      </c>
      <c r="C34" s="70">
        <f>A34*1!$H$3</f>
        <v>2571.5000000000005</v>
      </c>
      <c r="D34" s="70">
        <f>A34*1!$J$3</f>
        <v>1480</v>
      </c>
      <c r="E34" s="91">
        <f t="shared" si="1"/>
        <v>10341.5</v>
      </c>
      <c r="F34" s="71">
        <f>E34*26/100</f>
        <v>2688.79</v>
      </c>
      <c r="G34" s="91">
        <f t="shared" si="3"/>
        <v>7652.71</v>
      </c>
      <c r="H34" s="72">
        <f t="shared" si="5"/>
        <v>29347.29</v>
      </c>
      <c r="I34" s="76">
        <f>1!$E$6+(H34-20000)*1!$B$7</f>
        <v>7110.7141</v>
      </c>
      <c r="J34" s="76">
        <f t="shared" si="4"/>
        <v>7110.7141</v>
      </c>
      <c r="K34" s="76">
        <f>1!$K$10+(H34-12000-8000)*5/100</f>
        <v>643.3645</v>
      </c>
      <c r="L34" s="70">
        <v>650</v>
      </c>
      <c r="M34" s="73">
        <f t="shared" si="6"/>
        <v>8404.0786</v>
      </c>
      <c r="N34" s="83">
        <f t="shared" si="7"/>
        <v>20943.2114</v>
      </c>
      <c r="O34" s="75">
        <f t="shared" si="8"/>
        <v>-0.43396725945945946</v>
      </c>
    </row>
    <row r="35" spans="1:15" ht="18">
      <c r="A35" s="69">
        <v>38000</v>
      </c>
      <c r="B35" s="70">
        <f t="shared" si="0"/>
        <v>6460</v>
      </c>
      <c r="C35" s="70">
        <f>A35*1!$H$3</f>
        <v>2641.0000000000005</v>
      </c>
      <c r="D35" s="70">
        <f>A35*1!$J$3</f>
        <v>1520</v>
      </c>
      <c r="E35" s="91">
        <f t="shared" si="1"/>
        <v>10621</v>
      </c>
      <c r="F35" s="71">
        <f>E35*25/100</f>
        <v>2655.25</v>
      </c>
      <c r="G35" s="91">
        <f t="shared" si="3"/>
        <v>7965.75</v>
      </c>
      <c r="H35" s="72">
        <f t="shared" si="5"/>
        <v>30034.25</v>
      </c>
      <c r="I35" s="76">
        <f>1!$E$7+(H35-20000-10000)*1!$B$8</f>
        <v>7312.6725</v>
      </c>
      <c r="J35" s="76">
        <f t="shared" si="4"/>
        <v>7312.6725</v>
      </c>
      <c r="K35" s="76">
        <f>1!$K$11+(H35-12000-8000-10000)*6.5/100</f>
        <v>678.22625</v>
      </c>
      <c r="L35" s="70">
        <v>650</v>
      </c>
      <c r="M35" s="73">
        <f t="shared" si="6"/>
        <v>8640.89875</v>
      </c>
      <c r="N35" s="83">
        <f t="shared" si="7"/>
        <v>21393.35125</v>
      </c>
      <c r="O35" s="75">
        <f t="shared" si="8"/>
        <v>-0.437017072368421</v>
      </c>
    </row>
    <row r="36" spans="1:15" ht="18">
      <c r="A36" s="69">
        <v>39000</v>
      </c>
      <c r="B36" s="70">
        <f t="shared" si="0"/>
        <v>6630</v>
      </c>
      <c r="C36" s="70">
        <f>A36*1!$H$3</f>
        <v>2710.5000000000005</v>
      </c>
      <c r="D36" s="70">
        <f>A36*1!$J$3</f>
        <v>1560</v>
      </c>
      <c r="E36" s="91">
        <f t="shared" si="1"/>
        <v>10900.5</v>
      </c>
      <c r="F36" s="71">
        <f>E36*24/100</f>
        <v>2616.12</v>
      </c>
      <c r="G36" s="91">
        <f t="shared" si="3"/>
        <v>8284.380000000001</v>
      </c>
      <c r="H36" s="72">
        <f t="shared" si="5"/>
        <v>30715.62</v>
      </c>
      <c r="I36" s="76">
        <f>1!$E$7+(H36-20000-10000)*1!$B$8</f>
        <v>7564.779399999999</v>
      </c>
      <c r="J36" s="76">
        <f t="shared" si="4"/>
        <v>7564.779399999999</v>
      </c>
      <c r="K36" s="76">
        <f>1!$K$11+(H36-12000-8000-10000)*6.5/100</f>
        <v>722.5152999999999</v>
      </c>
      <c r="L36" s="70">
        <v>650</v>
      </c>
      <c r="M36" s="73">
        <f t="shared" si="6"/>
        <v>8937.294699999999</v>
      </c>
      <c r="N36" s="83">
        <f t="shared" si="7"/>
        <v>21778.3253</v>
      </c>
      <c r="O36" s="75">
        <f t="shared" si="8"/>
        <v>-0.4415814025641025</v>
      </c>
    </row>
    <row r="37" spans="1:15" ht="18">
      <c r="A37" s="69">
        <v>40000</v>
      </c>
      <c r="B37" s="70">
        <f aca="true" t="shared" si="10" ref="B37:B67">A37*17/100</f>
        <v>6800</v>
      </c>
      <c r="C37" s="70">
        <f>A37*1!$H$3</f>
        <v>2780.0000000000005</v>
      </c>
      <c r="D37" s="70">
        <f>A37*1!$J$3</f>
        <v>1600</v>
      </c>
      <c r="E37" s="91">
        <f t="shared" si="1"/>
        <v>11180</v>
      </c>
      <c r="F37" s="71">
        <f>E37*23/100</f>
        <v>2571.4</v>
      </c>
      <c r="G37" s="91">
        <f t="shared" si="3"/>
        <v>8608.6</v>
      </c>
      <c r="H37" s="72">
        <f t="shared" si="5"/>
        <v>31391.4</v>
      </c>
      <c r="I37" s="76">
        <f>1!$E$7+(H37-20000-10000)*1!$B$8</f>
        <v>7814.818</v>
      </c>
      <c r="J37" s="76">
        <f t="shared" si="4"/>
        <v>7814.818</v>
      </c>
      <c r="K37" s="76">
        <f>1!$K$11+(H37-12000-8000-10000)*6.5/100</f>
        <v>766.441</v>
      </c>
      <c r="L37" s="70">
        <v>650</v>
      </c>
      <c r="M37" s="73">
        <f t="shared" si="6"/>
        <v>9231.259</v>
      </c>
      <c r="N37" s="83">
        <f t="shared" si="7"/>
        <v>22160.141000000003</v>
      </c>
      <c r="O37" s="75">
        <f t="shared" si="8"/>
        <v>-0.44599647499999995</v>
      </c>
    </row>
    <row r="38" spans="1:15" ht="18">
      <c r="A38" s="69">
        <v>41000</v>
      </c>
      <c r="B38" s="70">
        <f t="shared" si="10"/>
        <v>6970</v>
      </c>
      <c r="C38" s="70">
        <f>A38*1!$H$3</f>
        <v>2849.5000000000005</v>
      </c>
      <c r="D38" s="70">
        <f>A38*1!$J$3</f>
        <v>1640</v>
      </c>
      <c r="E38" s="91">
        <f t="shared" si="1"/>
        <v>11459.5</v>
      </c>
      <c r="F38" s="71">
        <f>E38*22/100</f>
        <v>2521.09</v>
      </c>
      <c r="G38" s="91">
        <f t="shared" si="3"/>
        <v>8938.41</v>
      </c>
      <c r="H38" s="72">
        <f t="shared" si="5"/>
        <v>32061.59</v>
      </c>
      <c r="I38" s="76">
        <f>1!$E$7+(H38-20000-10000)*1!$B$8</f>
        <v>8062.7883</v>
      </c>
      <c r="J38" s="76">
        <f t="shared" si="4"/>
        <v>8062.7883</v>
      </c>
      <c r="K38" s="76">
        <f>1!$K$11+(H38-12000-8000-10000)*6.5/100</f>
        <v>810.00335</v>
      </c>
      <c r="L38" s="70">
        <v>650</v>
      </c>
      <c r="M38" s="73">
        <f t="shared" si="6"/>
        <v>9522.79165</v>
      </c>
      <c r="N38" s="83">
        <f t="shared" si="7"/>
        <v>22538.79835</v>
      </c>
      <c r="O38" s="75">
        <f t="shared" si="8"/>
        <v>-0.4502732109756097</v>
      </c>
    </row>
    <row r="39" spans="1:15" ht="18">
      <c r="A39" s="69">
        <v>42000</v>
      </c>
      <c r="B39" s="70">
        <f t="shared" si="10"/>
        <v>7140</v>
      </c>
      <c r="C39" s="70">
        <f>A39*1!$H$3</f>
        <v>2919.0000000000005</v>
      </c>
      <c r="D39" s="70">
        <f>A39*1!$J$3</f>
        <v>1680</v>
      </c>
      <c r="E39" s="91">
        <f t="shared" si="1"/>
        <v>11739</v>
      </c>
      <c r="F39" s="71">
        <f>E39*21/100</f>
        <v>2465.19</v>
      </c>
      <c r="G39" s="91">
        <f t="shared" si="3"/>
        <v>9273.81</v>
      </c>
      <c r="H39" s="72">
        <f t="shared" si="5"/>
        <v>32726.190000000002</v>
      </c>
      <c r="I39" s="76">
        <f>1!$E$7+(H39-20000-10000)*1!$B$8</f>
        <v>8308.6903</v>
      </c>
      <c r="J39" s="76">
        <f t="shared" si="4"/>
        <v>8308.6903</v>
      </c>
      <c r="K39" s="76">
        <f>1!$K$11+(H39-12000-8000-10000)*6.5/100</f>
        <v>853.2023500000001</v>
      </c>
      <c r="L39" s="70">
        <v>650</v>
      </c>
      <c r="M39" s="73">
        <f t="shared" si="6"/>
        <v>9811.89265</v>
      </c>
      <c r="N39" s="83">
        <f t="shared" si="7"/>
        <v>22914.29735</v>
      </c>
      <c r="O39" s="75">
        <f t="shared" si="8"/>
        <v>-0.4544214916666667</v>
      </c>
    </row>
    <row r="40" spans="1:15" ht="18">
      <c r="A40" s="69">
        <v>43000</v>
      </c>
      <c r="B40" s="70">
        <f t="shared" si="10"/>
        <v>7310</v>
      </c>
      <c r="C40" s="70">
        <f>A40*1!$H$3</f>
        <v>2988.5000000000005</v>
      </c>
      <c r="D40" s="70">
        <f>A40*1!$J$3</f>
        <v>1720</v>
      </c>
      <c r="E40" s="91">
        <f t="shared" si="1"/>
        <v>12018.5</v>
      </c>
      <c r="F40" s="71">
        <f>E40*20/100</f>
        <v>2403.7</v>
      </c>
      <c r="G40" s="91">
        <f t="shared" si="3"/>
        <v>9614.8</v>
      </c>
      <c r="H40" s="72">
        <f t="shared" si="5"/>
        <v>33385.2</v>
      </c>
      <c r="I40" s="76">
        <f>1!$E$7+(H40-20000-10000)*1!$B$8</f>
        <v>8552.524</v>
      </c>
      <c r="J40" s="76">
        <f t="shared" si="4"/>
        <v>8552.524</v>
      </c>
      <c r="K40" s="76">
        <f>1!$K$11+(H40-12000-8000-10000)*6.5/100</f>
        <v>896.0379999999998</v>
      </c>
      <c r="L40" s="70">
        <v>650</v>
      </c>
      <c r="M40" s="73">
        <f t="shared" si="6"/>
        <v>10098.562</v>
      </c>
      <c r="N40" s="83">
        <f t="shared" si="7"/>
        <v>23286.638</v>
      </c>
      <c r="O40" s="75">
        <f t="shared" si="8"/>
        <v>-0.45845027906976743</v>
      </c>
    </row>
    <row r="41" spans="1:15" ht="18">
      <c r="A41" s="69">
        <v>44000</v>
      </c>
      <c r="B41" s="70">
        <f t="shared" si="10"/>
        <v>7480</v>
      </c>
      <c r="C41" s="70">
        <f>A41*1!$H$3</f>
        <v>3058.0000000000005</v>
      </c>
      <c r="D41" s="70">
        <f>A41*1!$J$3</f>
        <v>1760</v>
      </c>
      <c r="E41" s="91">
        <f t="shared" si="1"/>
        <v>12298</v>
      </c>
      <c r="F41" s="71">
        <f>E41*19/100</f>
        <v>2336.62</v>
      </c>
      <c r="G41" s="91">
        <f t="shared" si="3"/>
        <v>9961.380000000001</v>
      </c>
      <c r="H41" s="72">
        <f t="shared" si="5"/>
        <v>34038.619999999995</v>
      </c>
      <c r="I41" s="76">
        <f>1!$E$7+(H41-20000-10000)*1!$B$8</f>
        <v>8794.289399999998</v>
      </c>
      <c r="J41" s="76">
        <f t="shared" si="4"/>
        <v>8794.289399999998</v>
      </c>
      <c r="K41" s="76">
        <f>1!$K$11+(H41-12000-8000-10000)*6.5/100</f>
        <v>938.5102999999997</v>
      </c>
      <c r="L41" s="70">
        <v>650</v>
      </c>
      <c r="M41" s="73">
        <f t="shared" si="6"/>
        <v>10382.799699999998</v>
      </c>
      <c r="N41" s="83">
        <f t="shared" si="7"/>
        <v>23655.8203</v>
      </c>
      <c r="O41" s="75">
        <f t="shared" si="8"/>
        <v>-0.46236772045454544</v>
      </c>
    </row>
    <row r="42" spans="1:15" ht="18">
      <c r="A42" s="69">
        <v>45000</v>
      </c>
      <c r="B42" s="70">
        <f t="shared" si="10"/>
        <v>7650</v>
      </c>
      <c r="C42" s="70">
        <f>A42*1!$H$3</f>
        <v>3127.5000000000005</v>
      </c>
      <c r="D42" s="70">
        <f>A42*1!$J$3</f>
        <v>1800</v>
      </c>
      <c r="E42" s="91">
        <f t="shared" si="1"/>
        <v>12577.5</v>
      </c>
      <c r="F42" s="71">
        <f>E42*18/100</f>
        <v>2263.95</v>
      </c>
      <c r="G42" s="91">
        <f t="shared" si="3"/>
        <v>10313.55</v>
      </c>
      <c r="H42" s="72">
        <f t="shared" si="5"/>
        <v>34686.45</v>
      </c>
      <c r="I42" s="76">
        <f>1!$E$7+(H42-20000-10000)*1!$B$8</f>
        <v>9033.986499999999</v>
      </c>
      <c r="J42" s="76">
        <f t="shared" si="4"/>
        <v>9033.986499999999</v>
      </c>
      <c r="K42" s="76">
        <f>1!$K$11+(H42-12000-8000-10000)*6.5/100</f>
        <v>980.6192499999997</v>
      </c>
      <c r="L42" s="70">
        <v>650</v>
      </c>
      <c r="M42" s="73">
        <f t="shared" si="6"/>
        <v>10664.605749999999</v>
      </c>
      <c r="N42" s="83">
        <f t="shared" si="7"/>
        <v>24021.84425</v>
      </c>
      <c r="O42" s="75">
        <f t="shared" si="8"/>
        <v>-0.46618123888888896</v>
      </c>
    </row>
    <row r="43" spans="1:15" ht="18">
      <c r="A43" s="69">
        <v>46000</v>
      </c>
      <c r="B43" s="70">
        <f t="shared" si="10"/>
        <v>7820</v>
      </c>
      <c r="C43" s="70">
        <f>A43*1!$H$3</f>
        <v>3197.0000000000005</v>
      </c>
      <c r="D43" s="70">
        <f>A43*1!$J$3</f>
        <v>1840</v>
      </c>
      <c r="E43" s="91">
        <f t="shared" si="1"/>
        <v>12857</v>
      </c>
      <c r="F43" s="71">
        <f>E43*17/100</f>
        <v>2185.69</v>
      </c>
      <c r="G43" s="91">
        <f t="shared" si="3"/>
        <v>10671.31</v>
      </c>
      <c r="H43" s="72">
        <f t="shared" si="5"/>
        <v>35328.69</v>
      </c>
      <c r="I43" s="76">
        <f>1!$E$7+(H43-20000-10000)*1!$B$8</f>
        <v>9271.615300000001</v>
      </c>
      <c r="J43" s="76">
        <f t="shared" si="4"/>
        <v>9271.615300000001</v>
      </c>
      <c r="K43" s="76">
        <f>1!$K$11+(H43-12000-8000-10000)*6.5/100</f>
        <v>1022.3648500000002</v>
      </c>
      <c r="L43" s="70">
        <v>650</v>
      </c>
      <c r="M43" s="73">
        <f t="shared" si="6"/>
        <v>10943.980150000001</v>
      </c>
      <c r="N43" s="83">
        <f t="shared" si="7"/>
        <v>24384.70985</v>
      </c>
      <c r="O43" s="75">
        <f t="shared" si="8"/>
        <v>-0.4698976119565218</v>
      </c>
    </row>
    <row r="44" spans="1:15" ht="18">
      <c r="A44" s="69">
        <v>47000</v>
      </c>
      <c r="B44" s="70">
        <f t="shared" si="10"/>
        <v>7990</v>
      </c>
      <c r="C44" s="70">
        <f>A44*1!$H$3</f>
        <v>3266.5000000000005</v>
      </c>
      <c r="D44" s="70">
        <f>A44*1!$J$3</f>
        <v>1880</v>
      </c>
      <c r="E44" s="91">
        <f t="shared" si="1"/>
        <v>13136.5</v>
      </c>
      <c r="F44" s="71">
        <f>E44*16/100</f>
        <v>2101.84</v>
      </c>
      <c r="G44" s="91">
        <f t="shared" si="3"/>
        <v>11034.66</v>
      </c>
      <c r="H44" s="72">
        <f t="shared" si="5"/>
        <v>35965.34</v>
      </c>
      <c r="I44" s="76">
        <f>1!$E$7+(H44-20000-10000)*1!$B$8</f>
        <v>9507.175799999999</v>
      </c>
      <c r="J44" s="76">
        <f t="shared" si="4"/>
        <v>9507.175799999999</v>
      </c>
      <c r="K44" s="76">
        <f>1!$K$11+(H44-12000-8000-10000)*6.5/100</f>
        <v>1063.7470999999998</v>
      </c>
      <c r="L44" s="70">
        <v>650</v>
      </c>
      <c r="M44" s="73">
        <f t="shared" si="6"/>
        <v>11220.9229</v>
      </c>
      <c r="N44" s="83">
        <f t="shared" si="7"/>
        <v>24744.4171</v>
      </c>
      <c r="O44" s="75">
        <f t="shared" si="8"/>
        <v>-0.47352304042553195</v>
      </c>
    </row>
    <row r="45" spans="1:15" ht="18">
      <c r="A45" s="69">
        <v>48000</v>
      </c>
      <c r="B45" s="70">
        <f t="shared" si="10"/>
        <v>8160</v>
      </c>
      <c r="C45" s="70">
        <f>A45*1!$H$3</f>
        <v>3336.0000000000005</v>
      </c>
      <c r="D45" s="70">
        <f>A45*1!$J$3</f>
        <v>1920</v>
      </c>
      <c r="E45" s="91">
        <f t="shared" si="1"/>
        <v>13416</v>
      </c>
      <c r="F45" s="71">
        <f>E45*15/100</f>
        <v>2012.4</v>
      </c>
      <c r="G45" s="91">
        <f t="shared" si="3"/>
        <v>11403.6</v>
      </c>
      <c r="H45" s="72">
        <f t="shared" si="5"/>
        <v>36596.4</v>
      </c>
      <c r="I45" s="76">
        <f>1!$E$7+(H45-20000-10000)*1!$B$8</f>
        <v>9740.668000000001</v>
      </c>
      <c r="J45" s="76">
        <f t="shared" si="4"/>
        <v>9740.668000000001</v>
      </c>
      <c r="K45" s="76">
        <f>1!$K$11+(H45-12000-8000-10000)*6.5/100</f>
        <v>1104.766</v>
      </c>
      <c r="L45" s="70">
        <v>650</v>
      </c>
      <c r="M45" s="73">
        <f t="shared" si="6"/>
        <v>11495.434000000001</v>
      </c>
      <c r="N45" s="83">
        <f t="shared" si="7"/>
        <v>25100.966</v>
      </c>
      <c r="O45" s="75">
        <f t="shared" si="8"/>
        <v>-0.4770632083333334</v>
      </c>
    </row>
    <row r="46" spans="1:15" ht="18">
      <c r="A46" s="69">
        <v>49000</v>
      </c>
      <c r="B46" s="70">
        <f t="shared" si="10"/>
        <v>8330</v>
      </c>
      <c r="C46" s="70">
        <f>A46*1!$H$3</f>
        <v>3405.5000000000005</v>
      </c>
      <c r="D46" s="70">
        <f>A46*1!$J$3</f>
        <v>1960</v>
      </c>
      <c r="E46" s="91">
        <f t="shared" si="1"/>
        <v>13695.5</v>
      </c>
      <c r="F46" s="71">
        <f>E46*14/100</f>
        <v>1917.37</v>
      </c>
      <c r="G46" s="91">
        <f t="shared" si="3"/>
        <v>11778.130000000001</v>
      </c>
      <c r="H46" s="72">
        <f t="shared" si="5"/>
        <v>37221.869999999995</v>
      </c>
      <c r="I46" s="76">
        <f>1!$E$7+(H46-20000-10000)*1!$B$8</f>
        <v>9972.091899999998</v>
      </c>
      <c r="J46" s="76">
        <f t="shared" si="4"/>
        <v>9972.091899999998</v>
      </c>
      <c r="K46" s="76">
        <f>1!$K$11+(H46-12000-8000-10000)*6.5/100</f>
        <v>1145.4215499999996</v>
      </c>
      <c r="L46" s="70">
        <v>650</v>
      </c>
      <c r="M46" s="73">
        <f t="shared" si="6"/>
        <v>11767.513449999997</v>
      </c>
      <c r="N46" s="83">
        <f t="shared" si="7"/>
        <v>25454.356549999997</v>
      </c>
      <c r="O46" s="75">
        <f t="shared" si="8"/>
        <v>-0.48052333571428574</v>
      </c>
    </row>
    <row r="47" spans="1:15" ht="18">
      <c r="A47" s="69">
        <v>50000</v>
      </c>
      <c r="B47" s="70">
        <f t="shared" si="10"/>
        <v>8500</v>
      </c>
      <c r="C47" s="70">
        <f>A47*1!$H$3</f>
        <v>3475.0000000000005</v>
      </c>
      <c r="D47" s="70">
        <f>A47*1!$J$3</f>
        <v>2000</v>
      </c>
      <c r="E47" s="91">
        <f t="shared" si="1"/>
        <v>13975</v>
      </c>
      <c r="F47" s="71">
        <f>E47*13/100</f>
        <v>1816.75</v>
      </c>
      <c r="G47" s="91">
        <f t="shared" si="3"/>
        <v>12158.25</v>
      </c>
      <c r="H47" s="72">
        <f t="shared" si="5"/>
        <v>37841.75</v>
      </c>
      <c r="I47" s="76">
        <f>1!$E$7+(H47-20000-10000)*1!$B$8</f>
        <v>10201.4475</v>
      </c>
      <c r="J47" s="76">
        <f t="shared" si="4"/>
        <v>10201.4475</v>
      </c>
      <c r="K47" s="76">
        <f>1!$K$11+(H47-12000-8000-10000)*6.5/100</f>
        <v>1185.71375</v>
      </c>
      <c r="L47" s="70">
        <v>650</v>
      </c>
      <c r="M47" s="73">
        <f t="shared" si="6"/>
        <v>12037.161250000001</v>
      </c>
      <c r="N47" s="83">
        <f t="shared" si="7"/>
        <v>25804.58875</v>
      </c>
      <c r="O47" s="75">
        <f t="shared" si="8"/>
        <v>-0.48390822499999997</v>
      </c>
    </row>
    <row r="48" spans="1:15" ht="18">
      <c r="A48" s="69">
        <v>51000</v>
      </c>
      <c r="B48" s="70">
        <f t="shared" si="10"/>
        <v>8670</v>
      </c>
      <c r="C48" s="70">
        <f>A48*1!$H$3</f>
        <v>3544.5000000000005</v>
      </c>
      <c r="D48" s="70">
        <f>A48*1!$J$3</f>
        <v>2040</v>
      </c>
      <c r="E48" s="91">
        <f t="shared" si="1"/>
        <v>14254.5</v>
      </c>
      <c r="F48" s="71">
        <f>E48*12/100</f>
        <v>1710.54</v>
      </c>
      <c r="G48" s="91">
        <f t="shared" si="3"/>
        <v>12543.96</v>
      </c>
      <c r="H48" s="72">
        <f t="shared" si="5"/>
        <v>38456.04</v>
      </c>
      <c r="I48" s="76">
        <f>1!$E$7+(H48-20000-10000)*1!$B$8</f>
        <v>10428.7348</v>
      </c>
      <c r="J48" s="76">
        <f t="shared" si="4"/>
        <v>10428.7348</v>
      </c>
      <c r="K48" s="76">
        <f>1!$K$11+(H48-12000-8000-10000)*6.5/100</f>
        <v>1225.6426000000001</v>
      </c>
      <c r="L48" s="70">
        <v>650</v>
      </c>
      <c r="M48" s="73">
        <f t="shared" si="6"/>
        <v>12304.377400000001</v>
      </c>
      <c r="N48" s="83">
        <f t="shared" si="7"/>
        <v>26151.6626</v>
      </c>
      <c r="O48" s="75">
        <f t="shared" si="8"/>
        <v>-0.4872223019607843</v>
      </c>
    </row>
    <row r="49" spans="1:15" ht="18">
      <c r="A49" s="69">
        <v>52000</v>
      </c>
      <c r="B49" s="70">
        <f t="shared" si="10"/>
        <v>8840</v>
      </c>
      <c r="C49" s="70">
        <f>A49*1!$H$3</f>
        <v>3614.0000000000005</v>
      </c>
      <c r="D49" s="70">
        <f>A49*1!$J$3</f>
        <v>2080</v>
      </c>
      <c r="E49" s="91">
        <f t="shared" si="1"/>
        <v>14534</v>
      </c>
      <c r="F49" s="71">
        <f>E49*11/100</f>
        <v>1598.74</v>
      </c>
      <c r="G49" s="91">
        <f t="shared" si="3"/>
        <v>12935.26</v>
      </c>
      <c r="H49" s="72">
        <f t="shared" si="5"/>
        <v>39064.74</v>
      </c>
      <c r="I49" s="76">
        <f>1!$E$7+(H49-20000-10000)*1!$B$8</f>
        <v>10653.9538</v>
      </c>
      <c r="J49" s="76">
        <f t="shared" si="4"/>
        <v>10653.9538</v>
      </c>
      <c r="K49" s="76">
        <f>1!$K$12+(H49-12000-8000-10000-10000)*7.5/100</f>
        <v>1255.8555</v>
      </c>
      <c r="L49" s="70">
        <v>650</v>
      </c>
      <c r="M49" s="73">
        <f t="shared" si="6"/>
        <v>12559.809299999999</v>
      </c>
      <c r="N49" s="83">
        <f t="shared" si="7"/>
        <v>26504.930699999997</v>
      </c>
      <c r="O49" s="75">
        <f t="shared" si="8"/>
        <v>-0.49028979423076924</v>
      </c>
    </row>
    <row r="50" spans="1:15" ht="18">
      <c r="A50" s="69">
        <v>53000</v>
      </c>
      <c r="B50" s="70">
        <f t="shared" si="10"/>
        <v>9010</v>
      </c>
      <c r="C50" s="70">
        <f>A50*1!$H$3</f>
        <v>3683.5000000000005</v>
      </c>
      <c r="D50" s="70">
        <f>A50*1!$J$3</f>
        <v>2120</v>
      </c>
      <c r="E50" s="91">
        <f t="shared" si="1"/>
        <v>14813.5</v>
      </c>
      <c r="F50" s="71">
        <f>E50*10/100</f>
        <v>1481.35</v>
      </c>
      <c r="G50" s="91">
        <f t="shared" si="3"/>
        <v>13332.15</v>
      </c>
      <c r="H50" s="72">
        <f t="shared" si="5"/>
        <v>39667.85</v>
      </c>
      <c r="I50" s="76">
        <f>1!$E$7+(H50-20000-10000)*1!$B$8</f>
        <v>10877.1045</v>
      </c>
      <c r="J50" s="76">
        <f t="shared" si="4"/>
        <v>10877.1045</v>
      </c>
      <c r="K50" s="76">
        <f>1!$K$12+(H50-12000-8000-10000-10000)*7.5/100</f>
        <v>1301.08875</v>
      </c>
      <c r="L50" s="70">
        <v>650</v>
      </c>
      <c r="M50" s="73">
        <f t="shared" si="6"/>
        <v>12828.19325</v>
      </c>
      <c r="N50" s="83">
        <f t="shared" si="7"/>
        <v>26839.65675</v>
      </c>
      <c r="O50" s="75">
        <f t="shared" si="8"/>
        <v>-0.4935913820754717</v>
      </c>
    </row>
    <row r="51" spans="1:15" ht="18">
      <c r="A51" s="69">
        <v>54000</v>
      </c>
      <c r="B51" s="70">
        <f t="shared" si="10"/>
        <v>9180</v>
      </c>
      <c r="C51" s="70">
        <f>A51*1!$H$3</f>
        <v>3753.0000000000005</v>
      </c>
      <c r="D51" s="70">
        <f>A51*1!$J$3</f>
        <v>2160</v>
      </c>
      <c r="E51" s="91">
        <f t="shared" si="1"/>
        <v>15093</v>
      </c>
      <c r="F51" s="71">
        <f>E51*9/100</f>
        <v>1358.37</v>
      </c>
      <c r="G51" s="91">
        <f t="shared" si="3"/>
        <v>13734.630000000001</v>
      </c>
      <c r="H51" s="72">
        <f t="shared" si="5"/>
        <v>40265.369999999995</v>
      </c>
      <c r="I51" s="76">
        <f>1!$E$8+(H51-20000-10000-10000)*1!$B$9</f>
        <v>11119.416499999998</v>
      </c>
      <c r="J51" s="76">
        <f t="shared" si="4"/>
        <v>11119.416499999998</v>
      </c>
      <c r="K51" s="76">
        <f>1!$K$12+(H51-12000-8000-10000-10000)*7.5/100</f>
        <v>1345.9027499999997</v>
      </c>
      <c r="L51" s="70">
        <v>650</v>
      </c>
      <c r="M51" s="73">
        <f t="shared" si="6"/>
        <v>13115.319249999997</v>
      </c>
      <c r="N51" s="83">
        <f t="shared" si="7"/>
        <v>27150.05075</v>
      </c>
      <c r="O51" s="75">
        <f t="shared" si="8"/>
        <v>-0.4972212824074075</v>
      </c>
    </row>
    <row r="52" spans="1:15" ht="18">
      <c r="A52" s="69">
        <v>55000</v>
      </c>
      <c r="B52" s="70">
        <f t="shared" si="10"/>
        <v>9350</v>
      </c>
      <c r="C52" s="70">
        <f>A52*1!$H$3</f>
        <v>3822.5000000000005</v>
      </c>
      <c r="D52" s="70">
        <f>A52*1!$J$3</f>
        <v>2200</v>
      </c>
      <c r="E52" s="91">
        <f t="shared" si="1"/>
        <v>15372.5</v>
      </c>
      <c r="F52" s="71">
        <f>E52*8/100</f>
        <v>1229.8</v>
      </c>
      <c r="G52" s="91">
        <f t="shared" si="3"/>
        <v>14142.7</v>
      </c>
      <c r="H52" s="72">
        <f t="shared" si="5"/>
        <v>40857.3</v>
      </c>
      <c r="I52" s="76">
        <f>1!$E$8+(H52-20000-10000-10000)*1!$B$9</f>
        <v>11385.785000000002</v>
      </c>
      <c r="J52" s="76">
        <f t="shared" si="4"/>
        <v>11385.785000000002</v>
      </c>
      <c r="K52" s="76">
        <f>1!$K$12+(H52-12000-8000-10000-10000)*7.5/100</f>
        <v>1390.2975000000001</v>
      </c>
      <c r="L52" s="70">
        <v>650</v>
      </c>
      <c r="M52" s="73">
        <f t="shared" si="6"/>
        <v>13426.082500000002</v>
      </c>
      <c r="N52" s="83">
        <f t="shared" si="7"/>
        <v>27431.2175</v>
      </c>
      <c r="O52" s="75">
        <f t="shared" si="8"/>
        <v>-0.501250590909091</v>
      </c>
    </row>
    <row r="53" spans="1:15" ht="18">
      <c r="A53" s="69">
        <v>56000</v>
      </c>
      <c r="B53" s="70">
        <f t="shared" si="10"/>
        <v>9520</v>
      </c>
      <c r="C53" s="70">
        <f>A53*1!$H$3</f>
        <v>3892.0000000000005</v>
      </c>
      <c r="D53" s="70">
        <f>A53*1!$J$3</f>
        <v>2240</v>
      </c>
      <c r="E53" s="91">
        <f t="shared" si="1"/>
        <v>15652</v>
      </c>
      <c r="F53" s="71">
        <f>E53*7/100</f>
        <v>1095.64</v>
      </c>
      <c r="G53" s="91">
        <f t="shared" si="3"/>
        <v>14556.36</v>
      </c>
      <c r="H53" s="72">
        <f t="shared" si="5"/>
        <v>41443.64</v>
      </c>
      <c r="I53" s="76">
        <f>1!$E$8+(H53-20000-10000-10000)*1!$B$9</f>
        <v>11649.637999999999</v>
      </c>
      <c r="J53" s="76">
        <f t="shared" si="4"/>
        <v>11649.637999999999</v>
      </c>
      <c r="K53" s="76">
        <f>1!$K$12+(H53-12000-8000-10000-10000)*7.5/100</f>
        <v>1434.273</v>
      </c>
      <c r="L53" s="70">
        <v>650</v>
      </c>
      <c r="M53" s="73">
        <f t="shared" si="6"/>
        <v>13733.910999999998</v>
      </c>
      <c r="N53" s="83">
        <f t="shared" si="7"/>
        <v>27709.729</v>
      </c>
      <c r="O53" s="75">
        <f t="shared" si="8"/>
        <v>-0.5051834107142857</v>
      </c>
    </row>
    <row r="54" spans="1:15" ht="18">
      <c r="A54" s="69">
        <v>57000</v>
      </c>
      <c r="B54" s="70">
        <f t="shared" si="10"/>
        <v>9690</v>
      </c>
      <c r="C54" s="70">
        <f>A54*1!$H$3</f>
        <v>3961.5000000000005</v>
      </c>
      <c r="D54" s="70">
        <f>A54*1!$J$3</f>
        <v>2280</v>
      </c>
      <c r="E54" s="91">
        <f t="shared" si="1"/>
        <v>15931.5</v>
      </c>
      <c r="F54" s="71">
        <f>E54*6/100</f>
        <v>955.89</v>
      </c>
      <c r="G54" s="91">
        <f t="shared" si="3"/>
        <v>14975.61</v>
      </c>
      <c r="H54" s="72">
        <f t="shared" si="5"/>
        <v>42024.39</v>
      </c>
      <c r="I54" s="76">
        <f>1!$E$8+(H54-20000-10000-10000)*1!$B$9</f>
        <v>11910.9755</v>
      </c>
      <c r="J54" s="76">
        <f t="shared" si="4"/>
        <v>11910.9755</v>
      </c>
      <c r="K54" s="76">
        <f>1!$K$12+(H54-12000-8000-10000-10000)*7.5/100</f>
        <v>1477.82925</v>
      </c>
      <c r="L54" s="70">
        <v>650</v>
      </c>
      <c r="M54" s="73">
        <f t="shared" si="6"/>
        <v>14038.804750000001</v>
      </c>
      <c r="N54" s="83">
        <f t="shared" si="7"/>
        <v>27985.585249999996</v>
      </c>
      <c r="O54" s="75">
        <f t="shared" si="8"/>
        <v>-0.5090248201754386</v>
      </c>
    </row>
    <row r="55" spans="1:15" ht="18">
      <c r="A55" s="69">
        <v>58000</v>
      </c>
      <c r="B55" s="70">
        <f t="shared" si="10"/>
        <v>9860</v>
      </c>
      <c r="C55" s="70">
        <f>A55*1!$H$3</f>
        <v>4031.0000000000005</v>
      </c>
      <c r="D55" s="70">
        <f>A55*1!$J$3</f>
        <v>2320</v>
      </c>
      <c r="E55" s="91">
        <f t="shared" si="1"/>
        <v>16211</v>
      </c>
      <c r="F55" s="71">
        <f>E55*5/100</f>
        <v>810.55</v>
      </c>
      <c r="G55" s="91">
        <f t="shared" si="3"/>
        <v>15400.45</v>
      </c>
      <c r="H55" s="72">
        <f t="shared" si="5"/>
        <v>42599.55</v>
      </c>
      <c r="I55" s="76">
        <f>1!$E$8+(H55-20000-10000-10000)*1!$B$9</f>
        <v>12169.7975</v>
      </c>
      <c r="J55" s="76">
        <f t="shared" si="4"/>
        <v>12169.7975</v>
      </c>
      <c r="K55" s="76">
        <f>1!$K$12+(H55-12000-8000-10000-10000)*7.5/100</f>
        <v>1520.9662500000002</v>
      </c>
      <c r="L55" s="70">
        <v>650</v>
      </c>
      <c r="M55" s="73">
        <f t="shared" si="6"/>
        <v>14340.76375</v>
      </c>
      <c r="N55" s="83">
        <f t="shared" si="7"/>
        <v>28258.786250000005</v>
      </c>
      <c r="O55" s="75">
        <f t="shared" si="8"/>
        <v>-0.5127795474137931</v>
      </c>
    </row>
    <row r="56" spans="1:15" ht="18">
      <c r="A56" s="69">
        <v>59000</v>
      </c>
      <c r="B56" s="70">
        <f t="shared" si="10"/>
        <v>10030</v>
      </c>
      <c r="C56" s="70">
        <f>A56*1!$H$3</f>
        <v>4100.5</v>
      </c>
      <c r="D56" s="70">
        <f>A56*1!$J$3</f>
        <v>2360</v>
      </c>
      <c r="E56" s="91">
        <f t="shared" si="1"/>
        <v>16490.5</v>
      </c>
      <c r="F56" s="71">
        <v>0</v>
      </c>
      <c r="G56" s="91">
        <f t="shared" si="3"/>
        <v>16490.5</v>
      </c>
      <c r="H56" s="72">
        <f t="shared" si="5"/>
        <v>42509.5</v>
      </c>
      <c r="I56" s="76">
        <f>1!$E$8+(H56-20000-10000-10000)*1!$B$9</f>
        <v>12129.275</v>
      </c>
      <c r="J56" s="76">
        <f t="shared" si="4"/>
        <v>12129.275</v>
      </c>
      <c r="K56" s="76">
        <f>1!$K$12+(H56-12000-8000-10000-10000)*7.5/100</f>
        <v>1514.2125</v>
      </c>
      <c r="L56" s="70">
        <v>650</v>
      </c>
      <c r="M56" s="73">
        <f t="shared" si="6"/>
        <v>14293.4875</v>
      </c>
      <c r="N56" s="83">
        <f t="shared" si="7"/>
        <v>28216.0125</v>
      </c>
      <c r="O56" s="75">
        <f t="shared" si="8"/>
        <v>-0.5217624999999999</v>
      </c>
    </row>
    <row r="57" spans="1:15" ht="18">
      <c r="A57" s="69">
        <v>60000</v>
      </c>
      <c r="B57" s="70">
        <f t="shared" si="10"/>
        <v>10200</v>
      </c>
      <c r="C57" s="70">
        <f>A57*1!$H$3</f>
        <v>4170</v>
      </c>
      <c r="D57" s="70">
        <f>A57*1!$J$3</f>
        <v>2400</v>
      </c>
      <c r="E57" s="91">
        <f t="shared" si="1"/>
        <v>16770</v>
      </c>
      <c r="F57" s="71">
        <v>0</v>
      </c>
      <c r="G57" s="91">
        <f t="shared" si="3"/>
        <v>16770</v>
      </c>
      <c r="H57" s="72">
        <f t="shared" si="5"/>
        <v>43230</v>
      </c>
      <c r="I57" s="76">
        <f>1!$E$8+(H57-20000-10000-10000)*1!$B$9</f>
        <v>12453.5</v>
      </c>
      <c r="J57" s="76">
        <f t="shared" si="4"/>
        <v>12453.5</v>
      </c>
      <c r="K57" s="76">
        <f>1!$K$12+(H57-12000-8000-10000-10000)*7.5/100</f>
        <v>1568.25</v>
      </c>
      <c r="L57" s="70">
        <v>650</v>
      </c>
      <c r="M57" s="73">
        <f t="shared" si="6"/>
        <v>14671.75</v>
      </c>
      <c r="N57" s="83">
        <f t="shared" si="7"/>
        <v>28558.25</v>
      </c>
      <c r="O57" s="75">
        <f t="shared" si="8"/>
        <v>-0.5240291666666667</v>
      </c>
    </row>
    <row r="58" spans="1:15" ht="18">
      <c r="A58" s="69">
        <v>61000</v>
      </c>
      <c r="B58" s="70">
        <f t="shared" si="10"/>
        <v>10370</v>
      </c>
      <c r="C58" s="70">
        <f>A58*1!$H$3</f>
        <v>4239.5</v>
      </c>
      <c r="D58" s="70">
        <f>A58*1!$J$3</f>
        <v>2440</v>
      </c>
      <c r="E58" s="91">
        <f t="shared" si="1"/>
        <v>17049.5</v>
      </c>
      <c r="F58" s="71">
        <v>0</v>
      </c>
      <c r="G58" s="91">
        <f t="shared" si="3"/>
        <v>17049.5</v>
      </c>
      <c r="H58" s="72">
        <f t="shared" si="5"/>
        <v>43950.5</v>
      </c>
      <c r="I58" s="76">
        <f>1!$E$8+(H58-20000-10000-10000)*1!$B$9</f>
        <v>12777.725</v>
      </c>
      <c r="J58" s="76">
        <f t="shared" si="4"/>
        <v>12777.725</v>
      </c>
      <c r="K58" s="76">
        <f>1!$K$12+(H58-12000-8000-10000-10000)*7.5/100</f>
        <v>1622.2875</v>
      </c>
      <c r="L58" s="70">
        <v>650</v>
      </c>
      <c r="M58" s="73">
        <f t="shared" si="6"/>
        <v>15050.0125</v>
      </c>
      <c r="N58" s="83">
        <f t="shared" si="7"/>
        <v>28900.4875</v>
      </c>
      <c r="O58" s="75">
        <f t="shared" si="8"/>
        <v>-0.5262215163934426</v>
      </c>
    </row>
    <row r="59" spans="1:15" ht="18">
      <c r="A59" s="69">
        <v>62000</v>
      </c>
      <c r="B59" s="70">
        <f t="shared" si="10"/>
        <v>10540</v>
      </c>
      <c r="C59" s="70">
        <f>A59*1!$H$3</f>
        <v>4309</v>
      </c>
      <c r="D59" s="70">
        <f>A59*1!$J$3</f>
        <v>2480</v>
      </c>
      <c r="E59" s="91">
        <f t="shared" si="1"/>
        <v>17329</v>
      </c>
      <c r="F59" s="71">
        <v>0</v>
      </c>
      <c r="G59" s="91">
        <f t="shared" si="3"/>
        <v>17329</v>
      </c>
      <c r="H59" s="72">
        <f t="shared" si="5"/>
        <v>44671</v>
      </c>
      <c r="I59" s="76">
        <f>1!$E$8+(H59-20000-10000-10000)*1!$B$9</f>
        <v>13101.95</v>
      </c>
      <c r="J59" s="76">
        <f t="shared" si="4"/>
        <v>13101.95</v>
      </c>
      <c r="K59" s="76">
        <f>1!$K$12+(H59-12000-8000-10000-10000)*7.5/100</f>
        <v>1676.325</v>
      </c>
      <c r="L59" s="70">
        <v>650</v>
      </c>
      <c r="M59" s="73">
        <f t="shared" si="6"/>
        <v>15428.275000000001</v>
      </c>
      <c r="N59" s="83">
        <f t="shared" si="7"/>
        <v>29242.725</v>
      </c>
      <c r="O59" s="75">
        <f t="shared" si="8"/>
        <v>-0.5283431451612903</v>
      </c>
    </row>
    <row r="60" spans="1:15" ht="18">
      <c r="A60" s="69">
        <v>63000</v>
      </c>
      <c r="B60" s="70">
        <f t="shared" si="10"/>
        <v>10710</v>
      </c>
      <c r="C60" s="70">
        <f>A60*1!$H$3</f>
        <v>4378.5</v>
      </c>
      <c r="D60" s="70">
        <f>A60*1!$J$3</f>
        <v>2520</v>
      </c>
      <c r="E60" s="91">
        <f t="shared" si="1"/>
        <v>17608.5</v>
      </c>
      <c r="F60" s="71">
        <v>0</v>
      </c>
      <c r="G60" s="91">
        <f t="shared" si="3"/>
        <v>17608.5</v>
      </c>
      <c r="H60" s="72">
        <f t="shared" si="5"/>
        <v>45391.5</v>
      </c>
      <c r="I60" s="76">
        <f>1!$E$8+(H60-20000-10000-10000)*1!$B$9</f>
        <v>13426.175</v>
      </c>
      <c r="J60" s="76">
        <f t="shared" si="4"/>
        <v>13426.175</v>
      </c>
      <c r="K60" s="76">
        <f>1!$K$12+(H60-12000-8000-10000-10000)*7.5/100</f>
        <v>1730.3625</v>
      </c>
      <c r="L60" s="70">
        <v>650</v>
      </c>
      <c r="M60" s="73">
        <f t="shared" si="6"/>
        <v>15806.537499999999</v>
      </c>
      <c r="N60" s="83">
        <f t="shared" si="7"/>
        <v>29584.9625</v>
      </c>
      <c r="O60" s="75">
        <f t="shared" si="8"/>
        <v>-0.5303974206349207</v>
      </c>
    </row>
    <row r="61" spans="1:15" ht="18">
      <c r="A61" s="69">
        <v>64000</v>
      </c>
      <c r="B61" s="70">
        <f t="shared" si="10"/>
        <v>10880</v>
      </c>
      <c r="C61" s="70">
        <f>A61*1!$H$3</f>
        <v>4448</v>
      </c>
      <c r="D61" s="70">
        <f>A61*1!$J$3</f>
        <v>2560</v>
      </c>
      <c r="E61" s="91">
        <f t="shared" si="1"/>
        <v>17888</v>
      </c>
      <c r="F61" s="71">
        <v>0</v>
      </c>
      <c r="G61" s="91">
        <f t="shared" si="3"/>
        <v>17888</v>
      </c>
      <c r="H61" s="72">
        <f t="shared" si="5"/>
        <v>46112</v>
      </c>
      <c r="I61" s="76">
        <f>1!$E$8+(H61-20000-10000-10000)*1!$B$9</f>
        <v>13750.4</v>
      </c>
      <c r="J61" s="76">
        <f t="shared" si="4"/>
        <v>13750.4</v>
      </c>
      <c r="K61" s="76">
        <f>1!$K$12+(H61-12000-8000-10000-10000)*7.5/100</f>
        <v>1784.4</v>
      </c>
      <c r="L61" s="70">
        <v>650</v>
      </c>
      <c r="M61" s="73">
        <f t="shared" si="6"/>
        <v>16184.8</v>
      </c>
      <c r="N61" s="83">
        <f t="shared" si="7"/>
        <v>29927.2</v>
      </c>
      <c r="O61" s="75">
        <f t="shared" si="8"/>
        <v>-0.5323875</v>
      </c>
    </row>
    <row r="62" spans="1:15" ht="18">
      <c r="A62" s="69">
        <v>65000</v>
      </c>
      <c r="B62" s="70">
        <f t="shared" si="10"/>
        <v>11050</v>
      </c>
      <c r="C62" s="70">
        <f>A62*1!$H$3</f>
        <v>4517.5</v>
      </c>
      <c r="D62" s="70">
        <f>A62*1!$J$3</f>
        <v>2600</v>
      </c>
      <c r="E62" s="91">
        <f t="shared" si="1"/>
        <v>18167.5</v>
      </c>
      <c r="F62" s="71">
        <v>0</v>
      </c>
      <c r="G62" s="91">
        <f t="shared" si="3"/>
        <v>18167.5</v>
      </c>
      <c r="H62" s="72">
        <f t="shared" si="5"/>
        <v>46832.5</v>
      </c>
      <c r="I62" s="76">
        <f>1!$E$8+(H62-20000-10000-10000)*1!$B$9</f>
        <v>14074.625</v>
      </c>
      <c r="J62" s="76">
        <f t="shared" si="4"/>
        <v>14074.625</v>
      </c>
      <c r="K62" s="76">
        <f>1!$K$12+(H62-12000-8000-10000-10000)*7.5/100</f>
        <v>1838.4375</v>
      </c>
      <c r="L62" s="70">
        <v>650</v>
      </c>
      <c r="M62" s="73">
        <f t="shared" si="6"/>
        <v>16563.0625</v>
      </c>
      <c r="N62" s="83">
        <f t="shared" si="7"/>
        <v>30269.4375</v>
      </c>
      <c r="O62" s="75">
        <f t="shared" si="8"/>
        <v>-0.5343163461538462</v>
      </c>
    </row>
    <row r="63" spans="1:15" ht="18">
      <c r="A63" s="69">
        <v>66000</v>
      </c>
      <c r="B63" s="70">
        <f t="shared" si="10"/>
        <v>11220</v>
      </c>
      <c r="C63" s="70">
        <f>A63*1!$H$3</f>
        <v>4587</v>
      </c>
      <c r="D63" s="70">
        <f>A63*1!$J$3</f>
        <v>2640</v>
      </c>
      <c r="E63" s="91">
        <f t="shared" si="1"/>
        <v>18447</v>
      </c>
      <c r="F63" s="71">
        <v>0</v>
      </c>
      <c r="G63" s="91">
        <f t="shared" si="3"/>
        <v>18447</v>
      </c>
      <c r="H63" s="72">
        <f t="shared" si="5"/>
        <v>47553</v>
      </c>
      <c r="I63" s="76">
        <f>1!$E$8+(H63-20000-10000-10000)*1!$B$9</f>
        <v>14398.85</v>
      </c>
      <c r="J63" s="76">
        <f t="shared" si="4"/>
        <v>14398.85</v>
      </c>
      <c r="K63" s="76">
        <f>1!$K$12+(H63-12000-8000-10000-10000)*7.5/100</f>
        <v>1892.475</v>
      </c>
      <c r="L63" s="70">
        <v>650</v>
      </c>
      <c r="M63" s="73">
        <f t="shared" si="6"/>
        <v>16941.325</v>
      </c>
      <c r="N63" s="83">
        <f t="shared" si="7"/>
        <v>30611.675</v>
      </c>
      <c r="O63" s="75">
        <f t="shared" si="8"/>
        <v>-0.5361867424242424</v>
      </c>
    </row>
    <row r="64" spans="1:15" ht="18">
      <c r="A64" s="69">
        <v>67000</v>
      </c>
      <c r="B64" s="76">
        <f t="shared" si="10"/>
        <v>11390</v>
      </c>
      <c r="C64" s="76">
        <f>A64*1!$H$3</f>
        <v>4656.5</v>
      </c>
      <c r="D64" s="76">
        <f>A64*1!$J$3</f>
        <v>2680</v>
      </c>
      <c r="E64" s="91">
        <f t="shared" si="1"/>
        <v>18726.5</v>
      </c>
      <c r="F64" s="71">
        <v>0</v>
      </c>
      <c r="G64" s="91">
        <f t="shared" si="3"/>
        <v>18726.5</v>
      </c>
      <c r="H64" s="72">
        <f t="shared" si="5"/>
        <v>48273.5</v>
      </c>
      <c r="I64" s="76">
        <f>1!$E$8+(H64-20000-10000-10000)*1!$B$9</f>
        <v>14723.075</v>
      </c>
      <c r="J64" s="76">
        <f t="shared" si="4"/>
        <v>14723.075</v>
      </c>
      <c r="K64" s="76">
        <f>1!$K$12+(H64-12000-8000-10000-10000)*7.5/100</f>
        <v>1946.5125</v>
      </c>
      <c r="L64" s="76">
        <v>650</v>
      </c>
      <c r="M64" s="73">
        <f t="shared" si="6"/>
        <v>17319.5875</v>
      </c>
      <c r="N64" s="83">
        <f t="shared" si="7"/>
        <v>30953.9125</v>
      </c>
      <c r="O64" s="75">
        <f t="shared" si="8"/>
        <v>-0.5380013059701493</v>
      </c>
    </row>
    <row r="65" spans="1:15" ht="18">
      <c r="A65" s="69">
        <v>68000</v>
      </c>
      <c r="B65" s="70">
        <f t="shared" si="10"/>
        <v>11560</v>
      </c>
      <c r="C65" s="70">
        <f>A65*1!$H$3</f>
        <v>4726</v>
      </c>
      <c r="D65" s="70">
        <f>A65*1!$J$3</f>
        <v>2720</v>
      </c>
      <c r="E65" s="91">
        <f t="shared" si="1"/>
        <v>19006</v>
      </c>
      <c r="F65" s="71">
        <v>0</v>
      </c>
      <c r="G65" s="91">
        <f t="shared" si="3"/>
        <v>19006</v>
      </c>
      <c r="H65" s="72">
        <f t="shared" si="5"/>
        <v>48994</v>
      </c>
      <c r="I65" s="76">
        <f>1!$E$8+(H65-20000-10000-10000)*1!$B$9</f>
        <v>15047.3</v>
      </c>
      <c r="J65" s="76">
        <f t="shared" si="4"/>
        <v>15047.3</v>
      </c>
      <c r="K65" s="76">
        <f>1!$K$12+(H65-12000-8000-10000-10000)*7.5/100</f>
        <v>2000.55</v>
      </c>
      <c r="L65" s="70">
        <v>650</v>
      </c>
      <c r="M65" s="73">
        <f t="shared" si="6"/>
        <v>17697.85</v>
      </c>
      <c r="N65" s="83">
        <f t="shared" si="7"/>
        <v>31296.15</v>
      </c>
      <c r="O65" s="75">
        <f t="shared" si="8"/>
        <v>-0.5397624999999999</v>
      </c>
    </row>
    <row r="66" spans="1:15" ht="18">
      <c r="A66" s="69">
        <v>69000</v>
      </c>
      <c r="B66" s="70">
        <f t="shared" si="10"/>
        <v>11730</v>
      </c>
      <c r="C66" s="70">
        <f>A66*1!$H$3</f>
        <v>4795.5</v>
      </c>
      <c r="D66" s="70">
        <f>A66*1!$J$3</f>
        <v>2760</v>
      </c>
      <c r="E66" s="91">
        <f t="shared" si="1"/>
        <v>19285.5</v>
      </c>
      <c r="F66" s="71">
        <v>0</v>
      </c>
      <c r="G66" s="91">
        <f t="shared" si="3"/>
        <v>19285.5</v>
      </c>
      <c r="H66" s="72">
        <f t="shared" si="5"/>
        <v>49714.5</v>
      </c>
      <c r="I66" s="76">
        <f>1!$E$8+(H66-20000-10000-10000)*1!$B$9</f>
        <v>15371.525000000001</v>
      </c>
      <c r="J66" s="76">
        <f t="shared" si="4"/>
        <v>15371.525000000001</v>
      </c>
      <c r="K66" s="76">
        <f>1!$K$12+(H66-12000-8000-10000-10000)*7.5/100</f>
        <v>2054.5875</v>
      </c>
      <c r="L66" s="70">
        <v>650</v>
      </c>
      <c r="M66" s="73">
        <f t="shared" si="6"/>
        <v>18076.112500000003</v>
      </c>
      <c r="N66" s="83">
        <f t="shared" si="7"/>
        <v>31638.387499999997</v>
      </c>
      <c r="O66" s="75">
        <f t="shared" si="8"/>
        <v>-0.5414726449275362</v>
      </c>
    </row>
    <row r="67" spans="1:15" ht="18">
      <c r="A67" s="69">
        <v>70329.6</v>
      </c>
      <c r="B67" s="70">
        <f t="shared" si="10"/>
        <v>11956.032000000001</v>
      </c>
      <c r="C67" s="70">
        <f>A67*1!$H$3</f>
        <v>4887.907200000001</v>
      </c>
      <c r="D67" s="70">
        <f>A67*1!$J$3</f>
        <v>2813.184</v>
      </c>
      <c r="E67" s="91">
        <f t="shared" si="1"/>
        <v>19657.1232</v>
      </c>
      <c r="F67" s="71">
        <v>0</v>
      </c>
      <c r="G67" s="91">
        <f t="shared" si="3"/>
        <v>19657.1232</v>
      </c>
      <c r="H67" s="72">
        <f t="shared" si="5"/>
        <v>50672.476800000004</v>
      </c>
      <c r="I67" s="76">
        <f>1!$E$8+(H67-20000-10000-10000)*1!$B$9</f>
        <v>15802.614560000002</v>
      </c>
      <c r="J67" s="76">
        <f t="shared" si="4"/>
        <v>15802.614560000002</v>
      </c>
      <c r="K67" s="76">
        <f>1!$K$12+(H67-12000-8000-10000-10000)*7.5/100</f>
        <v>2126.4357600000003</v>
      </c>
      <c r="L67" s="70">
        <v>650</v>
      </c>
      <c r="M67" s="73">
        <f t="shared" si="6"/>
        <v>18579.050320000002</v>
      </c>
      <c r="N67" s="83">
        <f t="shared" si="7"/>
        <v>32093.426480000002</v>
      </c>
      <c r="O67" s="75">
        <f t="shared" si="8"/>
        <v>-0.5436711359086359</v>
      </c>
    </row>
    <row r="68" s="38" customFormat="1" ht="18.75">
      <c r="A68" s="139" t="s">
        <v>251</v>
      </c>
    </row>
  </sheetData>
  <sheetProtection/>
  <mergeCells count="1">
    <mergeCell ref="A1:N1"/>
  </mergeCells>
  <hyperlinks>
    <hyperlink ref="O1" location="'1'!A1" display="'1'!A1"/>
  </hyperlinks>
  <printOptions horizontalCentered="1"/>
  <pageMargins left="0.11811023622047245" right="0.11811023622047245" top="0.15748031496062992" bottom="0.15748031496062992" header="0.31496062992125984" footer="0.31496062992125984"/>
  <pageSetup horizontalDpi="600" verticalDpi="600" orientation="landscape" paperSize="9" scale="75" r:id="rId3"/>
  <legacyDrawing r:id="rId2"/>
</worksheet>
</file>

<file path=xl/worksheets/sheet6.xml><?xml version="1.0" encoding="utf-8"?>
<worksheet xmlns="http://schemas.openxmlformats.org/spreadsheetml/2006/main" xmlns:r="http://schemas.openxmlformats.org/officeDocument/2006/relationships">
  <dimension ref="A1:M10"/>
  <sheetViews>
    <sheetView zoomScalePageLayoutView="0" workbookViewId="0" topLeftCell="A1">
      <selection activeCell="A1" sqref="A1:J1"/>
    </sheetView>
  </sheetViews>
  <sheetFormatPr defaultColWidth="9.140625" defaultRowHeight="15"/>
  <cols>
    <col min="1" max="9" width="9.140625" style="38" customWidth="1"/>
    <col min="10" max="10" width="11.28125" style="38" customWidth="1"/>
    <col min="11" max="16384" width="9.140625" style="38" customWidth="1"/>
  </cols>
  <sheetData>
    <row r="1" spans="1:10" ht="49.5" customHeight="1">
      <c r="A1" s="181" t="s">
        <v>236</v>
      </c>
      <c r="B1" s="181"/>
      <c r="C1" s="181"/>
      <c r="D1" s="181"/>
      <c r="E1" s="181"/>
      <c r="F1" s="181"/>
      <c r="G1" s="181"/>
      <c r="H1" s="181"/>
      <c r="I1" s="181"/>
      <c r="J1" s="181"/>
    </row>
    <row r="2" spans="1:10" ht="34.5" customHeight="1">
      <c r="A2" s="182" t="s">
        <v>231</v>
      </c>
      <c r="B2" s="183"/>
      <c r="C2" s="183"/>
      <c r="D2" s="183"/>
      <c r="E2" s="183"/>
      <c r="F2" s="183"/>
      <c r="G2" s="183"/>
      <c r="H2" s="183"/>
      <c r="I2" s="183"/>
      <c r="J2" s="184"/>
    </row>
    <row r="3" ht="14.25" customHeight="1"/>
    <row r="4" spans="1:10" s="98" customFormat="1" ht="77.25" customHeight="1">
      <c r="A4" s="185" t="s">
        <v>232</v>
      </c>
      <c r="B4" s="185"/>
      <c r="C4" s="185"/>
      <c r="D4" s="185"/>
      <c r="E4" s="185"/>
      <c r="F4" s="185"/>
      <c r="G4" s="185"/>
      <c r="H4" s="185"/>
      <c r="I4" s="185"/>
      <c r="J4" s="185"/>
    </row>
    <row r="5" ht="14.25" customHeight="1"/>
    <row r="6" spans="1:10" ht="117" customHeight="1">
      <c r="A6" s="182" t="s">
        <v>233</v>
      </c>
      <c r="B6" s="186"/>
      <c r="C6" s="186"/>
      <c r="D6" s="186"/>
      <c r="E6" s="186"/>
      <c r="F6" s="186"/>
      <c r="G6" s="186"/>
      <c r="H6" s="186"/>
      <c r="I6" s="186"/>
      <c r="J6" s="187"/>
    </row>
    <row r="7" spans="1:10" ht="14.25" customHeight="1">
      <c r="A7" s="99"/>
      <c r="B7" s="100"/>
      <c r="C7" s="100"/>
      <c r="D7" s="100"/>
      <c r="E7" s="100"/>
      <c r="F7" s="100"/>
      <c r="G7" s="100"/>
      <c r="H7" s="100"/>
      <c r="I7" s="100"/>
      <c r="J7" s="100"/>
    </row>
    <row r="8" spans="1:13" ht="80.25" customHeight="1">
      <c r="A8" s="188" t="s">
        <v>234</v>
      </c>
      <c r="B8" s="189"/>
      <c r="C8" s="189"/>
      <c r="D8" s="189"/>
      <c r="E8" s="189"/>
      <c r="F8" s="189"/>
      <c r="G8" s="189"/>
      <c r="H8" s="189"/>
      <c r="I8" s="189"/>
      <c r="J8" s="190"/>
      <c r="K8" s="101"/>
      <c r="M8" s="101"/>
    </row>
    <row r="9" spans="1:10" ht="14.25" customHeight="1">
      <c r="A9" s="191" t="s">
        <v>174</v>
      </c>
      <c r="B9" s="191"/>
      <c r="C9" s="191"/>
      <c r="D9" s="191"/>
      <c r="E9" s="191"/>
      <c r="F9" s="191"/>
      <c r="G9" s="191"/>
      <c r="H9" s="191"/>
      <c r="I9" s="191"/>
      <c r="J9" s="191"/>
    </row>
    <row r="10" spans="1:10" ht="82.5" customHeight="1">
      <c r="A10" s="178" t="s">
        <v>235</v>
      </c>
      <c r="B10" s="179"/>
      <c r="C10" s="179"/>
      <c r="D10" s="179"/>
      <c r="E10" s="179"/>
      <c r="F10" s="179"/>
      <c r="G10" s="179"/>
      <c r="H10" s="179"/>
      <c r="I10" s="179"/>
      <c r="J10" s="180"/>
    </row>
  </sheetData>
  <sheetProtection/>
  <mergeCells count="7">
    <mergeCell ref="A10:J10"/>
    <mergeCell ref="A1:J1"/>
    <mergeCell ref="A2:J2"/>
    <mergeCell ref="A4:J4"/>
    <mergeCell ref="A6:J6"/>
    <mergeCell ref="A8:J8"/>
    <mergeCell ref="A9:J9"/>
  </mergeCells>
  <printOptions horizontalCentered="1"/>
  <pageMargins left="0.31496062992125984" right="0.31496062992125984" top="0.7480314960629921" bottom="0.7480314960629921" header="0.31496062992125984" footer="0.31496062992125984"/>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G54"/>
  <sheetViews>
    <sheetView zoomScalePageLayoutView="0" workbookViewId="0" topLeftCell="A1">
      <selection activeCell="A1" sqref="A1:G1"/>
    </sheetView>
  </sheetViews>
  <sheetFormatPr defaultColWidth="9.140625" defaultRowHeight="15"/>
  <cols>
    <col min="1" max="1" width="12.8515625" style="38" customWidth="1"/>
    <col min="2" max="2" width="12.8515625" style="127" customWidth="1"/>
    <col min="3" max="3" width="12.8515625" style="128" customWidth="1"/>
    <col min="4" max="4" width="2.7109375" style="38" customWidth="1"/>
    <col min="5" max="5" width="13.28125" style="38" customWidth="1"/>
    <col min="6" max="6" width="13.28125" style="127" customWidth="1"/>
    <col min="7" max="7" width="13.28125" style="128" customWidth="1"/>
    <col min="8" max="16384" width="9.140625" style="38" customWidth="1"/>
  </cols>
  <sheetData>
    <row r="1" spans="1:7" ht="24.75" thickBot="1">
      <c r="A1" s="192" t="s">
        <v>237</v>
      </c>
      <c r="B1" s="192"/>
      <c r="C1" s="192"/>
      <c r="D1" s="192"/>
      <c r="E1" s="192"/>
      <c r="F1" s="192"/>
      <c r="G1" s="192"/>
    </row>
    <row r="2" spans="1:7" ht="19.5" thickBot="1">
      <c r="A2" s="193" t="s">
        <v>238</v>
      </c>
      <c r="B2" s="194"/>
      <c r="C2" s="195"/>
      <c r="D2" s="111"/>
      <c r="E2" s="193" t="s">
        <v>239</v>
      </c>
      <c r="F2" s="194"/>
      <c r="G2" s="195"/>
    </row>
    <row r="3" spans="1:7" ht="30" customHeight="1" thickBot="1">
      <c r="A3" s="112" t="s">
        <v>240</v>
      </c>
      <c r="B3" s="112" t="s">
        <v>241</v>
      </c>
      <c r="C3" s="129" t="s">
        <v>242</v>
      </c>
      <c r="D3" s="114"/>
      <c r="E3" s="112" t="s">
        <v>240</v>
      </c>
      <c r="F3" s="112" t="s">
        <v>241</v>
      </c>
      <c r="G3" s="113" t="s">
        <v>242</v>
      </c>
    </row>
    <row r="4" spans="1:7" ht="15">
      <c r="A4" s="115" t="s">
        <v>243</v>
      </c>
      <c r="B4" s="116">
        <v>7033</v>
      </c>
      <c r="C4" s="117">
        <v>0</v>
      </c>
      <c r="D4" s="111"/>
      <c r="E4" s="115" t="s">
        <v>243</v>
      </c>
      <c r="F4" s="116">
        <v>4922</v>
      </c>
      <c r="G4" s="117">
        <v>0</v>
      </c>
    </row>
    <row r="5" spans="1:7" ht="15">
      <c r="A5" s="118">
        <v>7033.01</v>
      </c>
      <c r="B5" s="119">
        <v>13000</v>
      </c>
      <c r="C5" s="120">
        <v>0.5</v>
      </c>
      <c r="D5" s="111"/>
      <c r="E5" s="118">
        <v>4923</v>
      </c>
      <c r="F5" s="119">
        <v>13000</v>
      </c>
      <c r="G5" s="120">
        <v>0.5</v>
      </c>
    </row>
    <row r="6" spans="1:7" ht="15">
      <c r="A6" s="118">
        <v>13000.01</v>
      </c>
      <c r="B6" s="119">
        <v>14000</v>
      </c>
      <c r="C6" s="120">
        <v>0.49</v>
      </c>
      <c r="D6" s="111"/>
      <c r="E6" s="118">
        <v>13000.01</v>
      </c>
      <c r="F6" s="119">
        <v>14000</v>
      </c>
      <c r="G6" s="120">
        <v>0.49</v>
      </c>
    </row>
    <row r="7" spans="1:7" ht="15">
      <c r="A7" s="118">
        <v>14000.01</v>
      </c>
      <c r="B7" s="119">
        <v>15000</v>
      </c>
      <c r="C7" s="120">
        <v>0.48</v>
      </c>
      <c r="D7" s="111"/>
      <c r="E7" s="118">
        <v>14000.01</v>
      </c>
      <c r="F7" s="119">
        <v>15000</v>
      </c>
      <c r="G7" s="120">
        <v>0.48</v>
      </c>
    </row>
    <row r="8" spans="1:7" ht="15">
      <c r="A8" s="118">
        <v>15000.01</v>
      </c>
      <c r="B8" s="119">
        <v>16000</v>
      </c>
      <c r="C8" s="120">
        <v>0.47</v>
      </c>
      <c r="D8" s="111"/>
      <c r="E8" s="118">
        <v>15000.01</v>
      </c>
      <c r="F8" s="119">
        <v>16000</v>
      </c>
      <c r="G8" s="120">
        <v>0.47</v>
      </c>
    </row>
    <row r="9" spans="1:7" ht="15">
      <c r="A9" s="118">
        <v>16000.01</v>
      </c>
      <c r="B9" s="119">
        <v>17000</v>
      </c>
      <c r="C9" s="120">
        <v>0.46</v>
      </c>
      <c r="D9" s="111"/>
      <c r="E9" s="118">
        <v>16000.01</v>
      </c>
      <c r="F9" s="119">
        <v>17000</v>
      </c>
      <c r="G9" s="120">
        <v>0.46</v>
      </c>
    </row>
    <row r="10" spans="1:7" ht="15">
      <c r="A10" s="118">
        <v>17000.01</v>
      </c>
      <c r="B10" s="119">
        <v>18000</v>
      </c>
      <c r="C10" s="120">
        <v>0.45</v>
      </c>
      <c r="D10" s="111"/>
      <c r="E10" s="118">
        <v>17000.01</v>
      </c>
      <c r="F10" s="119">
        <v>18000</v>
      </c>
      <c r="G10" s="120">
        <v>0.45</v>
      </c>
    </row>
    <row r="11" spans="1:7" ht="15">
      <c r="A11" s="118">
        <v>18000.01</v>
      </c>
      <c r="B11" s="119">
        <v>19000</v>
      </c>
      <c r="C11" s="120">
        <v>0.44</v>
      </c>
      <c r="D11" s="111"/>
      <c r="E11" s="118">
        <v>18000.01</v>
      </c>
      <c r="F11" s="119">
        <v>19000</v>
      </c>
      <c r="G11" s="120">
        <v>0.44</v>
      </c>
    </row>
    <row r="12" spans="1:7" ht="15">
      <c r="A12" s="118">
        <v>19000.01</v>
      </c>
      <c r="B12" s="119">
        <v>20000</v>
      </c>
      <c r="C12" s="120">
        <v>0.43</v>
      </c>
      <c r="D12" s="111"/>
      <c r="E12" s="118">
        <v>19000.01</v>
      </c>
      <c r="F12" s="119">
        <v>20000</v>
      </c>
      <c r="G12" s="120">
        <v>0.43</v>
      </c>
    </row>
    <row r="13" spans="1:7" ht="15">
      <c r="A13" s="118">
        <v>20000.01</v>
      </c>
      <c r="B13" s="119">
        <v>21000</v>
      </c>
      <c r="C13" s="120">
        <v>0.42</v>
      </c>
      <c r="D13" s="111"/>
      <c r="E13" s="118">
        <v>20000.01</v>
      </c>
      <c r="F13" s="119">
        <v>21000</v>
      </c>
      <c r="G13" s="120">
        <v>0.42</v>
      </c>
    </row>
    <row r="14" spans="1:7" ht="15">
      <c r="A14" s="118">
        <v>21000.01</v>
      </c>
      <c r="B14" s="119">
        <v>22000</v>
      </c>
      <c r="C14" s="120">
        <v>0.41</v>
      </c>
      <c r="D14" s="111"/>
      <c r="E14" s="118">
        <v>21000.01</v>
      </c>
      <c r="F14" s="119">
        <v>22000</v>
      </c>
      <c r="G14" s="120">
        <v>0.41</v>
      </c>
    </row>
    <row r="15" spans="1:7" ht="15">
      <c r="A15" s="118">
        <v>22000.01</v>
      </c>
      <c r="B15" s="119">
        <v>23000</v>
      </c>
      <c r="C15" s="120">
        <v>0.4</v>
      </c>
      <c r="D15" s="111"/>
      <c r="E15" s="118">
        <v>22000.01</v>
      </c>
      <c r="F15" s="119">
        <v>23000</v>
      </c>
      <c r="G15" s="120">
        <v>0.4</v>
      </c>
    </row>
    <row r="16" spans="1:7" ht="15">
      <c r="A16" s="118">
        <v>23000.01</v>
      </c>
      <c r="B16" s="119">
        <v>24000</v>
      </c>
      <c r="C16" s="120">
        <v>0.39</v>
      </c>
      <c r="D16" s="111"/>
      <c r="E16" s="118">
        <v>23000.01</v>
      </c>
      <c r="F16" s="119">
        <v>24000</v>
      </c>
      <c r="G16" s="120">
        <v>0.39</v>
      </c>
    </row>
    <row r="17" spans="1:7" ht="15">
      <c r="A17" s="118">
        <v>24000.01</v>
      </c>
      <c r="B17" s="119">
        <v>25000</v>
      </c>
      <c r="C17" s="120">
        <v>0.38</v>
      </c>
      <c r="D17" s="111"/>
      <c r="E17" s="118">
        <v>24000.01</v>
      </c>
      <c r="F17" s="119">
        <v>25000</v>
      </c>
      <c r="G17" s="120">
        <v>0.38</v>
      </c>
    </row>
    <row r="18" spans="1:7" ht="15">
      <c r="A18" s="118">
        <v>25000.01</v>
      </c>
      <c r="B18" s="119">
        <v>26000</v>
      </c>
      <c r="C18" s="120">
        <v>0.37</v>
      </c>
      <c r="D18" s="111"/>
      <c r="E18" s="118">
        <v>25000.01</v>
      </c>
      <c r="F18" s="119">
        <v>26000</v>
      </c>
      <c r="G18" s="120">
        <v>0.37</v>
      </c>
    </row>
    <row r="19" spans="1:7" ht="15">
      <c r="A19" s="118">
        <v>26000.01</v>
      </c>
      <c r="B19" s="119">
        <v>27000</v>
      </c>
      <c r="C19" s="120">
        <v>0.36</v>
      </c>
      <c r="D19" s="111"/>
      <c r="E19" s="118">
        <v>26000.01</v>
      </c>
      <c r="F19" s="119">
        <v>27000</v>
      </c>
      <c r="G19" s="120">
        <v>0.36</v>
      </c>
    </row>
    <row r="20" spans="1:7" ht="15">
      <c r="A20" s="118">
        <v>27000.01</v>
      </c>
      <c r="B20" s="119">
        <v>28000</v>
      </c>
      <c r="C20" s="120">
        <v>0.35</v>
      </c>
      <c r="D20" s="111"/>
      <c r="E20" s="118">
        <v>27000.01</v>
      </c>
      <c r="F20" s="119">
        <v>28000</v>
      </c>
      <c r="G20" s="120">
        <v>0.35</v>
      </c>
    </row>
    <row r="21" spans="1:7" ht="15">
      <c r="A21" s="118">
        <v>28000.01</v>
      </c>
      <c r="B21" s="119">
        <v>29000</v>
      </c>
      <c r="C21" s="120">
        <v>0.34</v>
      </c>
      <c r="D21" s="111"/>
      <c r="E21" s="118">
        <v>28000.01</v>
      </c>
      <c r="F21" s="119">
        <v>29000</v>
      </c>
      <c r="G21" s="120">
        <v>0.34</v>
      </c>
    </row>
    <row r="22" spans="1:7" ht="15">
      <c r="A22" s="118">
        <v>29000.01</v>
      </c>
      <c r="B22" s="119">
        <v>30000</v>
      </c>
      <c r="C22" s="120">
        <v>0.33</v>
      </c>
      <c r="D22" s="111"/>
      <c r="E22" s="118">
        <v>29000.01</v>
      </c>
      <c r="F22" s="119">
        <v>30000</v>
      </c>
      <c r="G22" s="120">
        <v>0.33</v>
      </c>
    </row>
    <row r="23" spans="1:7" ht="15">
      <c r="A23" s="118">
        <v>30000.01</v>
      </c>
      <c r="B23" s="119">
        <v>31000</v>
      </c>
      <c r="C23" s="120">
        <v>0.32</v>
      </c>
      <c r="D23" s="111"/>
      <c r="E23" s="118">
        <v>30000.01</v>
      </c>
      <c r="F23" s="119">
        <v>31000</v>
      </c>
      <c r="G23" s="120">
        <v>0.32</v>
      </c>
    </row>
    <row r="24" spans="1:7" ht="15">
      <c r="A24" s="118">
        <v>31000.01</v>
      </c>
      <c r="B24" s="119">
        <v>32000</v>
      </c>
      <c r="C24" s="120">
        <v>0.31</v>
      </c>
      <c r="D24" s="111"/>
      <c r="E24" s="118">
        <v>31000.01</v>
      </c>
      <c r="F24" s="119">
        <v>32000</v>
      </c>
      <c r="G24" s="120">
        <v>0.31</v>
      </c>
    </row>
    <row r="25" spans="1:7" ht="15">
      <c r="A25" s="118">
        <v>32000.01</v>
      </c>
      <c r="B25" s="119">
        <v>33000</v>
      </c>
      <c r="C25" s="120">
        <v>0.3</v>
      </c>
      <c r="D25" s="111"/>
      <c r="E25" s="118">
        <v>32000.01</v>
      </c>
      <c r="F25" s="119">
        <v>33000</v>
      </c>
      <c r="G25" s="120">
        <v>0.3</v>
      </c>
    </row>
    <row r="26" spans="1:7" ht="15">
      <c r="A26" s="118">
        <v>33000.01</v>
      </c>
      <c r="B26" s="119">
        <v>34000</v>
      </c>
      <c r="C26" s="120">
        <v>0.29</v>
      </c>
      <c r="D26" s="111"/>
      <c r="E26" s="118">
        <v>33000.01</v>
      </c>
      <c r="F26" s="119">
        <v>34000</v>
      </c>
      <c r="G26" s="120">
        <v>0.29</v>
      </c>
    </row>
    <row r="27" spans="1:7" ht="15">
      <c r="A27" s="118">
        <v>34000.01</v>
      </c>
      <c r="B27" s="119">
        <v>35000</v>
      </c>
      <c r="C27" s="120">
        <v>0.28</v>
      </c>
      <c r="D27" s="111"/>
      <c r="E27" s="118">
        <v>34000.01</v>
      </c>
      <c r="F27" s="119">
        <v>35000</v>
      </c>
      <c r="G27" s="120">
        <v>0.28</v>
      </c>
    </row>
    <row r="28" spans="1:7" ht="15">
      <c r="A28" s="118">
        <v>35000.01</v>
      </c>
      <c r="B28" s="119">
        <v>36000</v>
      </c>
      <c r="C28" s="120">
        <v>0.27</v>
      </c>
      <c r="D28" s="111"/>
      <c r="E28" s="118">
        <v>35000.01</v>
      </c>
      <c r="F28" s="119">
        <v>36000</v>
      </c>
      <c r="G28" s="120">
        <v>0.27</v>
      </c>
    </row>
    <row r="29" spans="1:7" ht="15">
      <c r="A29" s="118">
        <v>36000.01</v>
      </c>
      <c r="B29" s="119">
        <v>37000</v>
      </c>
      <c r="C29" s="120">
        <v>0.26</v>
      </c>
      <c r="D29" s="111"/>
      <c r="E29" s="118">
        <v>36000.01</v>
      </c>
      <c r="F29" s="119">
        <v>37000</v>
      </c>
      <c r="G29" s="120">
        <v>0.26</v>
      </c>
    </row>
    <row r="30" spans="1:7" ht="15">
      <c r="A30" s="118">
        <v>37000.01</v>
      </c>
      <c r="B30" s="119">
        <v>38000</v>
      </c>
      <c r="C30" s="120">
        <v>0.25</v>
      </c>
      <c r="D30" s="111"/>
      <c r="E30" s="118">
        <v>37000.01</v>
      </c>
      <c r="F30" s="119">
        <v>38000</v>
      </c>
      <c r="G30" s="120">
        <v>0.25</v>
      </c>
    </row>
    <row r="31" spans="1:7" ht="15">
      <c r="A31" s="118">
        <v>38000.01</v>
      </c>
      <c r="B31" s="119">
        <v>39000</v>
      </c>
      <c r="C31" s="120">
        <v>0.24</v>
      </c>
      <c r="D31" s="111"/>
      <c r="E31" s="118">
        <v>38000.01</v>
      </c>
      <c r="F31" s="119">
        <v>39000</v>
      </c>
      <c r="G31" s="120">
        <v>0.24</v>
      </c>
    </row>
    <row r="32" spans="1:7" ht="15">
      <c r="A32" s="118">
        <v>39000.01</v>
      </c>
      <c r="B32" s="119">
        <v>40000</v>
      </c>
      <c r="C32" s="120">
        <v>0.23</v>
      </c>
      <c r="D32" s="111"/>
      <c r="E32" s="118">
        <v>39000.01</v>
      </c>
      <c r="F32" s="119">
        <v>40000</v>
      </c>
      <c r="G32" s="120">
        <v>0.23</v>
      </c>
    </row>
    <row r="33" spans="1:7" ht="15">
      <c r="A33" s="118">
        <v>40000.01</v>
      </c>
      <c r="B33" s="119">
        <v>41000</v>
      </c>
      <c r="C33" s="120">
        <v>0.22</v>
      </c>
      <c r="D33" s="111"/>
      <c r="E33" s="118">
        <v>40000.01</v>
      </c>
      <c r="F33" s="119">
        <v>41000</v>
      </c>
      <c r="G33" s="120">
        <v>0.22</v>
      </c>
    </row>
    <row r="34" spans="1:7" ht="15">
      <c r="A34" s="118">
        <v>41000.01</v>
      </c>
      <c r="B34" s="119">
        <v>42000</v>
      </c>
      <c r="C34" s="120">
        <v>0.21</v>
      </c>
      <c r="D34" s="111"/>
      <c r="E34" s="118">
        <v>41000.01</v>
      </c>
      <c r="F34" s="119">
        <v>42000</v>
      </c>
      <c r="G34" s="120">
        <v>0.21</v>
      </c>
    </row>
    <row r="35" spans="1:7" ht="15">
      <c r="A35" s="118">
        <v>42000.01</v>
      </c>
      <c r="B35" s="119">
        <v>43000</v>
      </c>
      <c r="C35" s="120">
        <v>0.2</v>
      </c>
      <c r="D35" s="111"/>
      <c r="E35" s="118">
        <v>42000.01</v>
      </c>
      <c r="F35" s="119">
        <v>43000</v>
      </c>
      <c r="G35" s="120">
        <v>0.2</v>
      </c>
    </row>
    <row r="36" spans="1:7" ht="15">
      <c r="A36" s="118">
        <v>43000.01</v>
      </c>
      <c r="B36" s="119">
        <v>44000</v>
      </c>
      <c r="C36" s="120">
        <v>0.19</v>
      </c>
      <c r="D36" s="111"/>
      <c r="E36" s="118">
        <v>43000.01</v>
      </c>
      <c r="F36" s="119">
        <v>44000</v>
      </c>
      <c r="G36" s="120">
        <v>0.19</v>
      </c>
    </row>
    <row r="37" spans="1:7" ht="15">
      <c r="A37" s="118">
        <v>44000.01</v>
      </c>
      <c r="B37" s="119">
        <v>45000</v>
      </c>
      <c r="C37" s="120">
        <v>0.18</v>
      </c>
      <c r="D37" s="111"/>
      <c r="E37" s="118">
        <v>44000.01</v>
      </c>
      <c r="F37" s="119">
        <v>45000</v>
      </c>
      <c r="G37" s="120">
        <v>0.18</v>
      </c>
    </row>
    <row r="38" spans="1:7" ht="15">
      <c r="A38" s="118">
        <v>45000.01</v>
      </c>
      <c r="B38" s="119">
        <v>46000</v>
      </c>
      <c r="C38" s="120">
        <v>0.17</v>
      </c>
      <c r="D38" s="111"/>
      <c r="E38" s="118">
        <v>45000.01</v>
      </c>
      <c r="F38" s="119">
        <v>46000</v>
      </c>
      <c r="G38" s="120">
        <v>0.17</v>
      </c>
    </row>
    <row r="39" spans="1:7" ht="15">
      <c r="A39" s="118">
        <v>46000.01</v>
      </c>
      <c r="B39" s="119">
        <v>47000</v>
      </c>
      <c r="C39" s="120">
        <v>0.16</v>
      </c>
      <c r="D39" s="111"/>
      <c r="E39" s="118">
        <v>46000.01</v>
      </c>
      <c r="F39" s="119">
        <v>47000</v>
      </c>
      <c r="G39" s="120">
        <v>0.16</v>
      </c>
    </row>
    <row r="40" spans="1:7" ht="15">
      <c r="A40" s="118">
        <v>47000.01</v>
      </c>
      <c r="B40" s="119">
        <v>48000</v>
      </c>
      <c r="C40" s="121" t="s">
        <v>244</v>
      </c>
      <c r="D40" s="111"/>
      <c r="E40" s="118">
        <v>47000.01</v>
      </c>
      <c r="F40" s="119">
        <v>48000</v>
      </c>
      <c r="G40" s="121" t="s">
        <v>244</v>
      </c>
    </row>
    <row r="41" spans="1:7" ht="15">
      <c r="A41" s="118">
        <v>48000.01</v>
      </c>
      <c r="B41" s="119">
        <v>49000</v>
      </c>
      <c r="C41" s="120">
        <v>0.14</v>
      </c>
      <c r="D41" s="111"/>
      <c r="E41" s="118">
        <v>48000.01</v>
      </c>
      <c r="F41" s="119">
        <v>49000</v>
      </c>
      <c r="G41" s="120">
        <v>0.14</v>
      </c>
    </row>
    <row r="42" spans="1:7" ht="15">
      <c r="A42" s="118">
        <v>49000.01</v>
      </c>
      <c r="B42" s="119">
        <v>50000</v>
      </c>
      <c r="C42" s="120">
        <v>0.13</v>
      </c>
      <c r="D42" s="111"/>
      <c r="E42" s="118">
        <v>49000.01</v>
      </c>
      <c r="F42" s="119">
        <v>50000</v>
      </c>
      <c r="G42" s="120">
        <v>0.13</v>
      </c>
    </row>
    <row r="43" spans="1:7" ht="15">
      <c r="A43" s="118">
        <v>50000.01</v>
      </c>
      <c r="B43" s="119">
        <v>51000</v>
      </c>
      <c r="C43" s="121" t="s">
        <v>245</v>
      </c>
      <c r="D43" s="111"/>
      <c r="E43" s="118">
        <v>50000.01</v>
      </c>
      <c r="F43" s="119">
        <v>51000</v>
      </c>
      <c r="G43" s="121" t="s">
        <v>245</v>
      </c>
    </row>
    <row r="44" spans="1:7" ht="15">
      <c r="A44" s="118">
        <v>51000.01</v>
      </c>
      <c r="B44" s="119">
        <v>52000</v>
      </c>
      <c r="C44" s="120">
        <v>0.11</v>
      </c>
      <c r="D44" s="111"/>
      <c r="E44" s="118">
        <v>51000.01</v>
      </c>
      <c r="F44" s="119">
        <v>52000</v>
      </c>
      <c r="G44" s="120">
        <v>0.11</v>
      </c>
    </row>
    <row r="45" spans="1:7" ht="15">
      <c r="A45" s="118">
        <v>52000.01</v>
      </c>
      <c r="B45" s="119">
        <v>53000</v>
      </c>
      <c r="C45" s="120">
        <v>0.1</v>
      </c>
      <c r="D45" s="111"/>
      <c r="E45" s="118">
        <v>52000.01</v>
      </c>
      <c r="F45" s="119">
        <v>53000</v>
      </c>
      <c r="G45" s="120">
        <v>0.1</v>
      </c>
    </row>
    <row r="46" spans="1:7" ht="15">
      <c r="A46" s="118">
        <v>53000.01</v>
      </c>
      <c r="B46" s="119">
        <v>54000</v>
      </c>
      <c r="C46" s="120">
        <v>0.09</v>
      </c>
      <c r="D46" s="111"/>
      <c r="E46" s="118">
        <v>53000.01</v>
      </c>
      <c r="F46" s="119">
        <v>54000</v>
      </c>
      <c r="G46" s="120">
        <v>0.09</v>
      </c>
    </row>
    <row r="47" spans="1:7" ht="15">
      <c r="A47" s="118">
        <v>54000.01</v>
      </c>
      <c r="B47" s="119">
        <v>55000</v>
      </c>
      <c r="C47" s="120">
        <v>0.08</v>
      </c>
      <c r="D47" s="111"/>
      <c r="E47" s="118">
        <v>54000.01</v>
      </c>
      <c r="F47" s="119">
        <v>55000</v>
      </c>
      <c r="G47" s="120">
        <v>0.08</v>
      </c>
    </row>
    <row r="48" spans="1:7" ht="15">
      <c r="A48" s="118">
        <v>55000.01</v>
      </c>
      <c r="B48" s="119">
        <v>56000</v>
      </c>
      <c r="C48" s="120">
        <v>0.07</v>
      </c>
      <c r="D48" s="111"/>
      <c r="E48" s="118">
        <v>55000.01</v>
      </c>
      <c r="F48" s="119">
        <v>56000</v>
      </c>
      <c r="G48" s="120">
        <v>0.07</v>
      </c>
    </row>
    <row r="49" spans="1:7" ht="15">
      <c r="A49" s="118">
        <v>56000.01</v>
      </c>
      <c r="B49" s="119">
        <v>57000</v>
      </c>
      <c r="C49" s="120">
        <v>0.06</v>
      </c>
      <c r="D49" s="111"/>
      <c r="E49" s="118">
        <v>56000.01</v>
      </c>
      <c r="F49" s="119">
        <v>57000</v>
      </c>
      <c r="G49" s="120">
        <v>0.06</v>
      </c>
    </row>
    <row r="50" spans="1:7" ht="15">
      <c r="A50" s="118">
        <v>57000.01</v>
      </c>
      <c r="B50" s="118">
        <v>58000</v>
      </c>
      <c r="C50" s="120">
        <v>0.05</v>
      </c>
      <c r="D50" s="111"/>
      <c r="E50" s="118">
        <v>57000.01</v>
      </c>
      <c r="F50" s="118">
        <v>58000</v>
      </c>
      <c r="G50" s="120">
        <v>0.05</v>
      </c>
    </row>
    <row r="51" spans="1:7" ht="15">
      <c r="A51" s="118">
        <v>58000.01</v>
      </c>
      <c r="B51" s="122"/>
      <c r="C51" s="120">
        <v>0</v>
      </c>
      <c r="D51" s="111"/>
      <c r="E51" s="118">
        <v>58000.01</v>
      </c>
      <c r="F51" s="122"/>
      <c r="G51" s="120">
        <v>0</v>
      </c>
    </row>
    <row r="52" spans="1:7" ht="15">
      <c r="A52" s="123"/>
      <c r="B52" s="124"/>
      <c r="C52" s="125"/>
      <c r="E52" s="123"/>
      <c r="F52" s="124"/>
      <c r="G52" s="125"/>
    </row>
    <row r="53" spans="1:7" ht="15">
      <c r="A53" s="126"/>
      <c r="B53" s="124"/>
      <c r="C53" s="125"/>
      <c r="E53" s="126"/>
      <c r="F53" s="124"/>
      <c r="G53" s="125"/>
    </row>
    <row r="54" spans="1:7" ht="15">
      <c r="A54" s="126"/>
      <c r="B54" s="124"/>
      <c r="C54" s="125"/>
      <c r="E54" s="126"/>
      <c r="F54" s="124"/>
      <c r="G54" s="125"/>
    </row>
  </sheetData>
  <sheetProtection/>
  <mergeCells count="3">
    <mergeCell ref="A1:G1"/>
    <mergeCell ref="A2:C2"/>
    <mergeCell ref="E2:G2"/>
  </mergeCells>
  <printOptions horizontalCentered="1"/>
  <pageMargins left="0.7086614173228347" right="0.7086614173228347" top="0.7480314960629921" bottom="0.7480314960629921" header="0.31496062992125984"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Panaousis</dc:creator>
  <cp:keywords/>
  <dc:description/>
  <cp:lastModifiedBy>George Philippopoulos</cp:lastModifiedBy>
  <cp:lastPrinted>2016-05-29T19:34:21Z</cp:lastPrinted>
  <dcterms:created xsi:type="dcterms:W3CDTF">2016-05-11T07:37:09Z</dcterms:created>
  <dcterms:modified xsi:type="dcterms:W3CDTF">2016-07-08T21:25:34Z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